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367190f72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Summary" sheetId="1" r:id="R0e77d177773f457b"/>
    <x:sheet xmlns:r="http://schemas.openxmlformats.org/officeDocument/2006/relationships" name="Assumptions" sheetId="2" r:id="Ra964b880aebd4b8f"/>
    <x:sheet xmlns:r="http://schemas.openxmlformats.org/officeDocument/2006/relationships" name="Attractions" sheetId="3" r:id="R3e6fe357808e415a"/>
    <x:sheet xmlns:r="http://schemas.openxmlformats.org/officeDocument/2006/relationships" name="Occupancy &amp; Rooms" sheetId="4" r:id="Rb9764c4699f84878"/>
    <x:sheet xmlns:r="http://schemas.openxmlformats.org/officeDocument/2006/relationships" name="Operating Model" sheetId="5" r:id="Ra353c864326e4d5a"/>
    <x:sheet xmlns:r="http://schemas.openxmlformats.org/officeDocument/2006/relationships" name="Debt &amp; Returns" sheetId="6" r:id="R9311c73f777e46e9"/>
    <x:sheet xmlns:r="http://schemas.openxmlformats.org/officeDocument/2006/relationships" name="Sensitivity" sheetId="7" r:id="R0168af3976b540d0"/>
    <x:sheet xmlns:r="http://schemas.openxmlformats.org/officeDocument/2006/relationships" name="Avocado Reference" sheetId="8" r:id="R11af682cfac44cab"/>
    <x:sheet xmlns:r="http://schemas.openxmlformats.org/officeDocument/2006/relationships" name="Sources &amp; Checks" sheetId="9" r:id="R992a4e951dac4e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0.0%"/>
    <x:numFmt numFmtId="201" formatCode="0.0x"/>
    <x:numFmt numFmtId="202" formatCode="#,##0"/>
    <x:numFmt numFmtId="203" formatCode="0.0,,,"/>
    <x:numFmt numFmtId="204" formatCode="0.00x"/>
    <x:numFmt numFmtId="205" formatCode="0%"/>
    <x:numFmt numFmtId="206" formatCode="Rp #,##0"/>
    <x:numFmt numFmtId="207" formatCode="Rp #,##0,,&quot; M&quot;"/>
    <x:numFmt numFmtId="208" formatCode="0.0"/>
  </x:numFmts>
  <x:fonts count="13">
    <x:font>
      <x:sz val="11"/>
      <x:name val="Carlito"/>
    </x:font>
    <x:font>
      <x:sz val="10"/>
      <x:color rgb="FF1F2933"/>
      <x:name val="Arial"/>
    </x:font>
    <x:font>
      <x:b/>
      <x:sz val="16"/>
      <x:color rgb="FF17324D"/>
      <x:name val="Arial"/>
    </x:font>
    <x:font>
      <x:i/>
      <x:sz val="10"/>
      <x:color rgb="FF5E6B75"/>
      <x:name val="Arial"/>
    </x:font>
    <x:font>
      <x:b/>
      <x:sz val="10"/>
      <x:color rgb="FF17324D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b/>
      <x:sz val="9"/>
      <x:color rgb="FFFFFFFF"/>
      <x:name val="Arial"/>
    </x:font>
    <x:font>
      <x:b/>
      <x:sz val="10"/>
      <x:color rgb="FF1F2933"/>
      <x:name val="Arial"/>
    </x:font>
    <x:font>
      <x:sz val="10"/>
      <x:color rgb="FF008000"/>
      <x:name val="Arial"/>
    </x:font>
    <x:font>
      <x:b/>
      <x:sz val="9"/>
      <x:color rgb="FF1F2933"/>
      <x:name val="Arial"/>
    </x:font>
    <x:font>
      <x:sz val="9"/>
      <x:color rgb="FF1F2933"/>
      <x:name val="Arial"/>
    </x:font>
    <x:font>
      <x:sz val="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5CC"/>
      </x:patternFill>
    </x:fill>
    <x:fill>
      <x:patternFill patternType="solid">
        <x:fgColor rgb="FF17324D"/>
      </x:patternFill>
    </x:fill>
    <x:fill>
      <x:patternFill patternType="solid">
        <x:fgColor rgb="FF3B6B4C"/>
      </x:patternFill>
    </x:fill>
    <x:fill>
      <x:patternFill patternType="solid">
        <x:fgColor rgb="FFE9F2EC"/>
      </x:patternFill>
    </x:fill>
  </x:fills>
  <x:borders count="9">
    <x:border/>
    <x:border>
      <x:bottom style="thin">
        <x:color rgb="FF17324D"/>
      </x:bottom>
    </x:border>
    <x:border>
      <x:left style="thin">
        <x:color rgb="FF17324D"/>
      </x:left>
      <x:top style="thin">
        <x:color rgb="FF17324D"/>
      </x:top>
      <x:bottom style="thin">
        <x:color rgb="FF17324D"/>
      </x:bottom>
    </x:border>
    <x:border>
      <x:top style="thin">
        <x:color rgb="FF17324D"/>
      </x:top>
      <x:bottom style="thin">
        <x:color rgb="FF17324D"/>
      </x:bottom>
    </x:border>
    <x:border>
      <x:right style="thin">
        <x:color rgb="FF17324D"/>
      </x:right>
      <x:top style="thin">
        <x:color rgb="FF17324D"/>
      </x:top>
      <x:bottom style="thin">
        <x:color rgb="FF17324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top style="thin">
        <x:color rgb="FF17324D"/>
      </x:top>
      <x:bottom style="double">
        <x:color rgb="FF17324D"/>
      </x:bottom>
    </x:border>
    <x:border>
      <x:top style="thin">
        <x:color rgb="FF17324D"/>
      </x:top>
    </x:border>
    <x:border>
      <x:bottom style="double">
        <x:color rgb="FF17324D"/>
      </x:bottom>
    </x:border>
  </x:borders>
  <x:cellStyleXfs count="1">
    <x:xf numFmtId="0" fontId="0" fillId="0" borderId="0"/>
  </x:cellStyleXfs>
  <x:cellXfs count="115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horizontal="center" wrapText="1"/>
    </x:xf>
    <x:xf numFmtId="0" fontId="7" fillId="4" borderId="0" xfId="0" applyNumberFormat="1" applyFont="1" applyFill="1" applyBorder="1" applyAlignment="1">
      <x:alignment horizontal="center" vertical="center" wrapText="1"/>
    </x:xf>
    <x:xf numFmtId="0" fontId="7" fillId="4" borderId="5" xfId="0" applyNumberFormat="1" applyFont="1" applyFill="1" applyBorder="1" applyAlignment="1">
      <x:alignment horizontal="center" vertical="center" wrapText="1"/>
    </x:xf>
    <x:xf numFmtId="200" fontId="5" fillId="2" borderId="0" xfId="0" applyNumberFormat="1" applyFont="1" applyFill="1" applyBorder="1"/>
    <x:xf numFmtId="201" fontId="5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5" fillId="2" borderId="0" xfId="0" applyNumberFormat="1" applyFont="1" applyFill="1" applyBorder="1"/>
    <x:xf numFmtId="203" fontId="5" fillId="2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6" xfId="0" applyNumberFormat="1" applyFont="1" applyFill="1" applyBorder="1"/>
    <x:xf numFmtId="203" fontId="1" fillId="0" borderId="0" xfId="0" applyNumberFormat="1" applyFont="1" applyFill="1" applyBorder="1"/>
    <x:xf numFmtId="203" fontId="8" fillId="0" borderId="6" xfId="0" applyNumberFormat="1" applyFont="1" applyFill="1" applyBorder="1"/>
    <x:xf numFmtId="200" fontId="8" fillId="0" borderId="6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203" fontId="5" fillId="2" borderId="0" xfId="0" applyNumberFormat="1" applyFont="1" applyFill="1" applyBorder="1" applyAlignment="1">
      <x:alignment wrapText="1"/>
    </x:xf>
    <x:xf numFmtId="200" fontId="5" fillId="2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0" fontId="8" fillId="0" borderId="0" xfId="0" applyNumberFormat="1" applyFont="1" applyFill="1" applyBorder="1"/>
    <x:xf numFmtId="203" fontId="6" fillId="3" borderId="3" xfId="0" applyNumberFormat="1" applyFont="1" applyFill="1" applyBorder="1" applyAlignment="1">
      <x:alignment vertical="center"/>
    </x:xf>
    <x:xf numFmtId="203" fontId="6" fillId="3" borderId="4" xfId="0" applyNumberFormat="1" applyFont="1" applyFill="1" applyBorder="1" applyAlignment="1">
      <x:alignment vertical="center"/>
    </x:xf>
    <x:xf numFmtId="203" fontId="8" fillId="0" borderId="0" xfId="0" applyNumberFormat="1" applyFont="1" applyFill="1" applyBorder="1"/>
    <x:xf numFmtId="0" fontId="8" fillId="0" borderId="7" xfId="0" applyNumberFormat="1" applyFont="1" applyFill="1" applyBorder="1"/>
    <x:xf numFmtId="203" fontId="8" fillId="0" borderId="7" xfId="0" applyNumberFormat="1" applyFont="1" applyFill="1" applyBorder="1"/>
    <x:xf numFmtId="0" fontId="8" fillId="0" borderId="8" xfId="0" applyNumberFormat="1" applyFont="1" applyFill="1" applyBorder="1"/>
    <x:xf numFmtId="203" fontId="8" fillId="0" borderId="8" xfId="0" applyNumberFormat="1" applyFont="1" applyFill="1" applyBorder="1"/>
    <x:xf numFmtId="204" fontId="1" fillId="0" borderId="0" xfId="0" applyNumberFormat="1" applyFont="1" applyFill="1" applyBorder="1"/>
    <x:xf numFmtId="205" fontId="1" fillId="0" borderId="0" xfId="0" applyNumberFormat="1" applyFont="1" applyFill="1" applyBorder="1"/>
    <x:xf numFmtId="206" fontId="1" fillId="0" borderId="0" xfId="0" applyNumberFormat="1" applyFont="1" applyFill="1" applyBorder="1"/>
    <x:xf numFmtId="207" fontId="1" fillId="0" borderId="0" xfId="0" applyNumberFormat="1" applyFont="1" applyFill="1" applyBorder="1"/>
    <x:xf numFmtId="208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  <x:xf numFmtId="206" fontId="1" fillId="0" borderId="0" xfId="0" applyNumberFormat="1" applyFont="1" applyFill="1" applyBorder="1" applyAlignment="1">
      <x:alignment wrapText="1"/>
    </x:xf>
    <x:xf numFmtId="207" fontId="1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200" fontId="9" fillId="0" borderId="0" xfId="0" applyNumberFormat="1" applyFont="1" applyFill="1" applyBorder="1"/>
    <x:xf numFmtId="202" fontId="9" fillId="0" borderId="0" xfId="0" applyNumberFormat="1" applyFont="1" applyFill="1" applyBorder="1"/>
    <x:xf numFmtId="208" fontId="9" fillId="0" borderId="0" xfId="0" applyNumberFormat="1" applyFont="1" applyFill="1" applyBorder="1"/>
    <x:xf numFmtId="204" fontId="9" fillId="0" borderId="0" xfId="0" applyNumberFormat="1" applyFont="1" applyFill="1" applyBorder="1"/>
    <x:xf numFmtId="208" fontId="1" fillId="0" borderId="0" xfId="0" applyNumberFormat="1" applyFont="1" applyFill="1" applyBorder="1" applyAlignment="1">
      <x:alignment wrapText="1"/>
    </x:xf>
    <x:xf numFmtId="0" fontId="10" fillId="4" borderId="5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wrapText="1"/>
    </x:xf>
    <x:xf numFmtId="208" fontId="11" fillId="0" borderId="0" xfId="0" applyNumberFormat="1" applyFont="1" applyFill="1" applyBorder="1" applyAlignment="1">
      <x:alignment wrapText="1"/>
    </x:xf>
    <x:xf numFmtId="200" fontId="11" fillId="0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/>
    <x:xf numFmtId="207" fontId="12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8" fontId="9" fillId="0" borderId="0" xfId="0" applyNumberFormat="1" applyFont="1" applyFill="1" applyBorder="1" applyAlignment="1">
      <x:alignment vertical="center"/>
    </x:xf>
    <x:xf numFmtId="204" fontId="9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 wrapText="1"/>
    </x:xf>
    <x:xf numFmtId="208" fontId="11" fillId="0" borderId="0" xfId="0" applyNumberFormat="1" applyFont="1" applyFill="1" applyBorder="1" applyAlignment="1">
      <x:alignment vertical="center" wrapText="1"/>
    </x:xf>
    <x:xf numFmtId="200" fontId="11" fillId="0" borderId="0" xfId="0" applyNumberFormat="1" applyFont="1" applyFill="1" applyBorder="1" applyAlignment="1">
      <x:alignment vertical="center" wrapText="1"/>
    </x:xf>
    <x:xf numFmtId="207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/>
    </x:xf>
    <x:xf numFmtId="207" fontId="12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5" fillId="2" borderId="0" xfId="0" applyNumberFormat="1" applyFont="1" applyFill="1" applyBorder="1" applyAlignment="1">
      <x:alignment vertical="center"/>
    </x:xf>
    <x:xf numFmtId="203" fontId="5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5" fillId="2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0" fontId="8" fillId="0" borderId="6" xfId="0" applyNumberFormat="1" applyFont="1" applyFill="1" applyBorder="1" applyAlignment="1">
      <x:alignment vertical="center"/>
    </x:xf>
    <x:xf numFmtId="203" fontId="8" fillId="0" borderId="6" xfId="0" applyNumberFormat="1" applyFont="1" applyFill="1" applyBorder="1" applyAlignment="1">
      <x:alignment vertical="center"/>
    </x:xf>
    <x:xf numFmtId="200" fontId="8" fillId="0" borderId="6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8" fillId="0" borderId="7" xfId="0" applyNumberFormat="1" applyFont="1" applyFill="1" applyBorder="1" applyAlignment="1">
      <x:alignment vertical="center"/>
    </x:xf>
    <x:xf numFmtId="203" fontId="8" fillId="0" borderId="7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3" fontId="8" fillId="0" borderId="0" xfId="0" applyNumberFormat="1" applyFont="1" applyFill="1" applyBorder="1" applyAlignment="1">
      <x:alignment vertical="center"/>
    </x:xf>
    <x:xf numFmtId="0" fontId="8" fillId="0" borderId="8" xfId="0" applyNumberFormat="1" applyFont="1" applyFill="1" applyBorder="1" applyAlignment="1">
      <x:alignment vertical="center"/>
    </x:xf>
    <x:xf numFmtId="203" fontId="8" fillId="0" borderId="8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 wrapText="1"/>
    </x:xf>
    <x:xf numFmtId="207" fontId="1" fillId="0" borderId="0" xfId="0" applyNumberFormat="1" applyFont="1" applyFill="1" applyBorder="1" applyAlignment="1">
      <x:alignment vertical="center" wrapText="1"/>
    </x:xf>
    <x:xf numFmtId="208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B4433C"/>
      </x:font>
      <x:fill>
        <x:patternFill patternType="solid">
          <x:bgColor rgb="FFFCE8E6"/>
        </x:patternFill>
      </x:fill>
    </x:dxf>
    <x:dxf>
      <x:font>
        <x:b/>
        <x:color rgb="FFB4433C"/>
      </x:font>
      <x:fill>
        <x:patternFill patternType="solid">
          <x:bgColor rgb="FFFCE8E6"/>
        </x:patternFill>
      </x:fill>
    </x:dxf>
    <x:dxf>
      <x:font>
        <x:b/>
        <x:color rgb="FF3B6B4C"/>
      </x:font>
      <x:fill>
        <x:patternFill patternType="solid">
          <x:bgColor rgb="FFE9F2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c4371c174481f" /><Relationship Type="http://schemas.openxmlformats.org/officeDocument/2006/relationships/theme" Target="/xl/theme/theme1.xml" Id="R4c7cc30e9cd647a1" /><Relationship Type="http://schemas.openxmlformats.org/officeDocument/2006/relationships/sharedStrings" Target="/xl/sharedStrings.xml" Id="R10d37fdfee77400b" /><Relationship Type="http://schemas.openxmlformats.org/officeDocument/2006/relationships/worksheet" Target="/xl/worksheets/sheet1.xml" Id="R0e77d177773f457b" /><Relationship Type="http://schemas.openxmlformats.org/officeDocument/2006/relationships/worksheet" Target="/xl/worksheets/sheet2.xml" Id="Ra964b880aebd4b8f" /><Relationship Type="http://schemas.openxmlformats.org/officeDocument/2006/relationships/worksheet" Target="/xl/worksheets/sheet3.xml" Id="R3e6fe357808e415a" /><Relationship Type="http://schemas.openxmlformats.org/officeDocument/2006/relationships/worksheet" Target="/xl/worksheets/sheet4.xml" Id="Rb9764c4699f84878" /><Relationship Type="http://schemas.openxmlformats.org/officeDocument/2006/relationships/worksheet" Target="/xl/worksheets/sheet5.xml" Id="Ra353c864326e4d5a" /><Relationship Type="http://schemas.openxmlformats.org/officeDocument/2006/relationships/worksheet" Target="/xl/worksheets/sheet6.xml" Id="R9311c73f777e46e9" /><Relationship Type="http://schemas.openxmlformats.org/officeDocument/2006/relationships/worksheet" Target="/xl/worksheets/sheet7.xml" Id="R0168af3976b540d0" /><Relationship Type="http://schemas.openxmlformats.org/officeDocument/2006/relationships/worksheet" Target="/xl/worksheets/sheet8.xml" Id="R11af682cfac44cab" /><Relationship Type="http://schemas.openxmlformats.org/officeDocument/2006/relationships/worksheet" Target="/xl/worksheets/sheet9.xml" Id="R992a4e951dac4e9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521682281e54b1a" /><Relationship Type="http://schemas.openxmlformats.org/officeDocument/2006/relationships/chart" Target="/xl/drawings/charts/chart2.xml" Id="Rc671fdc5aea9467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Annual Occupancy Ramp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Current</c:v>
          </c:tx>
          <c:marker>
            <c:symbol val="none"/>
          </c:marker>
          <c:cat>
            <c:strRef>
              <c:f>'Executive Summary'!$J$7:$J$21</c:f>
              <c:strCache>
                <c:ptCount val="0"/>
              </c:strCache>
            </c:strRef>
          </c:cat>
          <c:val>
            <c:numRef>
              <c:f>'Executive Summary'!$K$7:$K$21</c:f>
              <c:numCache>
                <c:formatCode>0%</c:formatCode>
                <c:ptCount val="0"/>
              </c:numCache>
            </c:numRef>
          </c:val>
          <c:smooth val="0"/>
        </c:ser>
        <c:ser>
          <c:idx val="1"/>
          <c:order val="1"/>
          <c:tx>
            <c:v>Stage 1</c:v>
          </c:tx>
          <c:marker>
            <c:symbol val="none"/>
          </c:marker>
          <c:cat>
            <c:strRef>
              <c:f>'Executive Summary'!$J$7:$J$21</c:f>
              <c:strCache>
                <c:ptCount val="0"/>
              </c:strCache>
            </c:strRef>
          </c:cat>
          <c:val>
            <c:numRef>
              <c:f>'Executive Summary'!$L$7:$L$21</c:f>
              <c:numCache>
                <c:formatCode>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EBITDA and CFADS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EBITDA</c:v>
          </c:tx>
          <c:marker>
            <c:symbol val="none"/>
          </c:marker>
          <c:cat>
            <c:strRef>
              <c:f>'Executive Summary'!$J$25:$J$39</c:f>
              <c:strCache>
                <c:ptCount val="0"/>
              </c:strCache>
            </c:strRef>
          </c:cat>
          <c:val>
            <c:numRef>
              <c:f>'Executive Summary'!$K$25:$K$39</c:f>
              <c:numCache>
                <c:formatCode>Rp #,##0,," M"</c:formatCode>
                <c:ptCount val="0"/>
              </c:numCache>
            </c:numRef>
          </c:val>
          <c:smooth val="0"/>
        </c:ser>
        <c:ser>
          <c:idx val="1"/>
          <c:order val="1"/>
          <c:tx>
            <c:v>CFADS</c:v>
          </c:tx>
          <c:marker>
            <c:symbol val="none"/>
          </c:marker>
          <c:cat>
            <c:strRef>
              <c:f>'Executive Summary'!$J$25:$J$39</c:f>
              <c:strCache>
                <c:ptCount val="0"/>
              </c:strCache>
            </c:strRef>
          </c:cat>
          <c:val>
            <c:numRef>
              <c:f>'Executive Summary'!$L$25:$L$39</c:f>
              <c:numCache>
                <c:formatCode>Rp #,##0,," M"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Rp 0,,&quot;M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5</xdr:row>
      <xdr:rowOff>0</xdr:rowOff>
    </xdr:from>
    <xdr:to>
      <xdr:col>16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521682281e54b1a"/>
        </a:graphicData>
      </a:graphic>
    </xdr:graphicFrame>
    <xdr:clientData/>
  </xdr:twoCellAnchor>
  <xdr:twoCellAnchor>
    <xdr:from>
      <xdr:col>8</xdr:col>
      <xdr:colOff>0</xdr:colOff>
      <xdr:row>20</xdr:row>
      <xdr:rowOff>0</xdr:rowOff>
    </xdr:from>
    <xdr:to>
      <xdr:col>16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671fdc5aea9467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a50005c9c5641c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29" hidden="0" customWidth="1"/>
    <x:col min="4" max="4" width="20" hidden="0" customWidth="1"/>
    <x:col min="5" max="5" width="20" hidden="0" customWidth="1"/>
    <x:col min="6" max="6" width="20" hidden="0" customWidth="1"/>
    <x:col min="7" max="7" width="46" hidden="0" customWidth="1"/>
  </x:cols>
  <x:sheetData>
    <x:row r="1" ht="15" hidden="0" customHeight="1">
      <x:c r="A1" s="68"/>
      <x:c r="B1" s="68"/>
      <x:c r="C1" s="68"/>
      <x:c r="D1" s="68"/>
      <x:c r="E1" s="68"/>
      <x:c r="F1" s="68"/>
      <x:c r="G1" s="68"/>
      <x:c r="H1" s="68"/>
      <x:c r="I1" s="68"/>
      <x:c r="J1" s="68"/>
      <x:c r="K1" s="68"/>
      <x:c r="L1" s="68"/>
      <x:c r="M1" s="68"/>
      <x:c r="N1" s="68"/>
      <x:c r="O1" s="68"/>
      <x:c r="P1" s="68"/>
      <x:c r="Q1" s="68"/>
      <x:c r="R1" s="68"/>
    </x:row>
    <x:row r="2" ht="24" hidden="0" customHeight="1">
      <x:c r="A2" s="68"/>
      <x:c r="B2" s="68"/>
      <x:c r="C2" s="69" t="str">
        <x:v>Tanjung Lesung Stage 1 Agro-Education Tourism</x:v>
      </x:c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</x:row>
    <x:row r="3" ht="24" hidden="0" customHeight="1">
      <x:c r="A3" s="68"/>
      <x:c r="B3" s="68"/>
      <x:c r="C3" s="71" t="str">
        <x:v>Investment screening case for a 5-day, 4-night weekday demand generator. Base Case selected in Assumptions.</x:v>
      </x:c>
      <x:c r="D3" s="68"/>
      <x:c r="E3" s="68"/>
      <x:c r="F3" s="68"/>
      <x:c r="G3" s="68"/>
      <x:c r="H3" s="68"/>
      <x:c r="I3" s="68"/>
      <x:c r="J3" s="68"/>
      <x:c r="K3" s="68"/>
      <x:c r="L3" s="68"/>
      <x:c r="M3" s="68"/>
      <x:c r="N3" s="68"/>
      <x:c r="O3" s="68"/>
      <x:c r="P3" s="68"/>
      <x:c r="Q3" s="68"/>
      <x:c r="R3" s="68"/>
    </x:row>
    <x:row r="4" ht="15" hidden="0" customHeight="1">
      <x:c r="A4" s="68"/>
      <x:c r="B4" s="68"/>
      <x:c r="C4" s="68"/>
      <x:c r="D4" s="68"/>
      <x:c r="E4" s="68"/>
      <x:c r="F4" s="68"/>
      <x:c r="G4" s="68"/>
      <x:c r="H4" s="68"/>
      <x:c r="I4" s="68"/>
      <x:c r="J4" s="68"/>
      <x:c r="K4" s="68"/>
      <x:c r="L4" s="68"/>
      <x:c r="M4" s="68"/>
      <x:c r="N4" s="68"/>
      <x:c r="O4" s="68"/>
      <x:c r="P4" s="68"/>
      <x:c r="Q4" s="68"/>
      <x:c r="R4" s="68"/>
    </x:row>
    <x:row r="5" ht="15" hidden="0" customHeight="1">
      <x:c r="A5" s="68"/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</x:row>
    <x:row r="6" ht="15" hidden="0" customHeight="1">
      <x:c r="A6" s="68"/>
      <x:c r="B6" s="68"/>
      <x:c r="C6" s="11" t="str">
        <x:v>Decision Metrics</x:v>
      </x:c>
      <x:c r="D6" s="12"/>
      <x:c r="E6" s="12"/>
      <x:c r="F6" s="12"/>
      <x:c r="G6" s="13"/>
      <x:c r="H6" s="68"/>
      <x:c r="I6" s="68"/>
      <x:c r="J6" s="68" t="str">
        <x:v>Year</x:v>
      </x:c>
      <x:c r="K6" s="68" t="str">
        <x:v>Current</x:v>
      </x:c>
      <x:c r="L6" s="68" t="str">
        <x:v>Stage 1</x:v>
      </x:c>
      <x:c r="M6" s="68"/>
      <x:c r="N6" s="68"/>
      <x:c r="O6" s="68"/>
      <x:c r="P6" s="68"/>
      <x:c r="Q6" s="68"/>
      <x:c r="R6" s="68"/>
    </x:row>
    <x:row r="7" ht="15" hidden="0" customHeight="1">
      <x:c r="A7" s="68"/>
      <x:c r="B7" s="68"/>
      <x:c r="C7" s="19" t="str">
        <x:v>Metric</x:v>
      </x:c>
      <x:c r="D7" s="19" t="str">
        <x:v>Current</x:v>
      </x:c>
      <x:c r="E7" s="19" t="str">
        <x:v>Stage 1 / Result</x:v>
      </x:c>
      <x:c r="F7" s="19" t="str">
        <x:v>Unit</x:v>
      </x:c>
      <x:c r="G7" s="19" t="str">
        <x:v>Meaning</x:v>
      </x:c>
      <x:c r="H7" s="68"/>
      <x:c r="I7" s="68"/>
      <x:c r="J7" s="68" t="n">
        <x:v>1</x:v>
      </x:c>
      <x:c r="K7" s="72" t="n">
        <x:f>'Assumptions'!$D$23</x:f>
        <x:v>0.25</x:v>
      </x:c>
      <x:c r="L7" s="72" t="n">
        <x:f>'Occupancy &amp; Rooms'!D12</x:f>
        <x:v>0.4018904109589041</x:v>
      </x:c>
      <x:c r="M7" s="68"/>
      <x:c r="N7" s="68"/>
      <x:c r="O7" s="68"/>
      <x:c r="P7" s="68"/>
      <x:c r="Q7" s="68"/>
      <x:c r="R7" s="68"/>
    </x:row>
    <x:row r="8" ht="15" hidden="0" customHeight="1">
      <x:c r="A8" s="68"/>
      <x:c r="B8" s="68"/>
      <x:c r="C8" s="68" t="str">
        <x:v>Average occupancy</x:v>
      </x:c>
      <x:c r="D8" s="73" t="n">
        <x:f>'Assumptions'!$D$23</x:f>
        <x:v>0.25</x:v>
      </x:c>
      <x:c r="E8" s="73" t="n">
        <x:f>'Occupancy &amp; Rooms'!I12</x:f>
        <x:v>0.683972602739726</x:v>
      </x:c>
      <x:c r="F8" s="68" t="str">
        <x:v>%</x:v>
      </x:c>
      <x:c r="G8" s="68" t="str">
        <x:v>Annual average at Year 6</x:v>
      </x:c>
      <x:c r="H8" s="68"/>
      <x:c r="I8" s="68"/>
      <x:c r="J8" s="68" t="n">
        <x:v>2</x:v>
      </x:c>
      <x:c r="K8" s="72" t="n">
        <x:f>'Assumptions'!$D$23</x:f>
        <x:v>0.25</x:v>
      </x:c>
      <x:c r="L8" s="72" t="n">
        <x:f>'Occupancy &amp; Rooms'!E12</x:f>
        <x:v>0.466986301369863</x:v>
      </x:c>
      <x:c r="M8" s="68"/>
      <x:c r="N8" s="68"/>
      <x:c r="O8" s="68"/>
      <x:c r="P8" s="68"/>
      <x:c r="Q8" s="68"/>
      <x:c r="R8" s="68"/>
    </x:row>
    <x:row r="9" ht="15" hidden="0" customHeight="1">
      <x:c r="A9" s="68"/>
      <x:c r="B9" s="68"/>
      <x:c r="C9" s="68" t="str">
        <x:v>Package guests</x:v>
      </x:c>
      <x:c r="D9" s="74" t="n">
        <x:v>0</x:v>
      </x:c>
      <x:c r="E9" s="75" t="n">
        <x:f>'Occupancy &amp; Rooms'!I9</x:f>
        <x:v>23760</x:v>
      </x:c>
      <x:c r="F9" s="68" t="str">
        <x:v>persons/year</x:v>
      </x:c>
      <x:c r="G9" s="68" t="str">
        <x:v>5D4N education cohorts</x:v>
      </x:c>
      <x:c r="H9" s="68"/>
      <x:c r="I9" s="68"/>
      <x:c r="J9" s="68" t="n">
        <x:v>3</x:v>
      </x:c>
      <x:c r="K9" s="72" t="n">
        <x:f>'Assumptions'!$D$23</x:f>
        <x:v>0.25</x:v>
      </x:c>
      <x:c r="L9" s="72" t="n">
        <x:f>'Occupancy &amp; Rooms'!F12</x:f>
        <x:v>0.532082191780822</x:v>
      </x:c>
      <x:c r="M9" s="68"/>
      <x:c r="N9" s="68"/>
      <x:c r="O9" s="68"/>
      <x:c r="P9" s="68"/>
      <x:c r="Q9" s="68"/>
      <x:c r="R9" s="68"/>
    </x:row>
    <x:row r="10" ht="15" hidden="0" customHeight="1">
      <x:c r="A10" s="68"/>
      <x:c r="B10" s="68"/>
      <x:c r="C10" s="68" t="str">
        <x:v>Rooms required per active night</x:v>
      </x:c>
      <x:c r="D10" s="74" t="n">
        <x:v>0</x:v>
      </x:c>
      <x:c r="E10" s="75" t="n">
        <x:f>'Occupancy &amp; Rooms'!I10</x:f>
        <x:v>270</x:v>
      </x:c>
      <x:c r="F10" s="68" t="str">
        <x:v>rooms</x:v>
      </x:c>
      <x:c r="G10" s="68" t="str">
        <x:v>Uses existing 300-room inventory</x:v>
      </x:c>
      <x:c r="H10" s="68"/>
      <x:c r="I10" s="68"/>
      <x:c r="J10" s="68" t="n">
        <x:v>4</x:v>
      </x:c>
      <x:c r="K10" s="72" t="n">
        <x:f>'Assumptions'!$D$23</x:f>
        <x:v>0.25</x:v>
      </x:c>
      <x:c r="L10" s="72" t="n">
        <x:f>'Occupancy &amp; Rooms'!G12</x:f>
        <x:v>0.5971780821917809</x:v>
      </x:c>
      <x:c r="M10" s="68"/>
      <x:c r="N10" s="68"/>
      <x:c r="O10" s="68"/>
      <x:c r="P10" s="68"/>
      <x:c r="Q10" s="68"/>
      <x:c r="R10" s="68"/>
    </x:row>
    <x:row r="11" ht="15" hidden="0" customHeight="1">
      <x:c r="A11" s="68"/>
      <x:c r="B11" s="68"/>
      <x:c r="C11" s="68" t="str">
        <x:v>Cash CAPEX</x:v>
      </x:c>
      <x:c r="D11" s="74" t="n">
        <x:v>0</x:v>
      </x:c>
      <x:c r="E11" s="76" t="n">
        <x:f>'Debt &amp; Returns'!$D$10/1000000000</x:f>
        <x:v>29</x:v>
      </x:c>
      <x:c r="F11" s="68" t="str">
        <x:v>Rp bn</x:v>
      </x:c>
      <x:c r="G11" s="68" t="str">
        <x:v>Excludes land economic value</x:v>
      </x:c>
      <x:c r="H11" s="68"/>
      <x:c r="I11" s="68"/>
      <x:c r="J11" s="68" t="n">
        <x:v>5</x:v>
      </x:c>
      <x:c r="K11" s="72" t="n">
        <x:f>'Assumptions'!$D$23</x:f>
        <x:v>0.25</x:v>
      </x:c>
      <x:c r="L11" s="72" t="n">
        <x:f>'Occupancy &amp; Rooms'!H12</x:f>
        <x:v>0.6405753424657534</x:v>
      </x:c>
      <x:c r="M11" s="68"/>
      <x:c r="N11" s="68"/>
      <x:c r="O11" s="68"/>
      <x:c r="P11" s="68"/>
      <x:c r="Q11" s="68"/>
      <x:c r="R11" s="68"/>
    </x:row>
    <x:row r="12" ht="15" hidden="0" customHeight="1">
      <x:c r="A12" s="68"/>
      <x:c r="B12" s="68"/>
      <x:c r="C12" s="68" t="str">
        <x:v>Land economic value</x:v>
      </x:c>
      <x:c r="D12" s="74" t="n">
        <x:v>0</x:v>
      </x:c>
      <x:c r="E12" s="76" t="n">
        <x:f>'Debt &amp; Returns'!$D$9/1000000000</x:f>
        <x:v>32.5</x:v>
      </x:c>
      <x:c r="F12" s="68" t="str">
        <x:v>Rp bn</x:v>
      </x:c>
      <x:c r="G12" s="68" t="str">
        <x:v>Retained by TL under long lease</x:v>
      </x:c>
      <x:c r="H12" s="68"/>
      <x:c r="I12" s="68"/>
      <x:c r="J12" s="68" t="n">
        <x:v>6</x:v>
      </x:c>
      <x:c r="K12" s="72" t="n">
        <x:f>'Assumptions'!$D$23</x:f>
        <x:v>0.25</x:v>
      </x:c>
      <x:c r="L12" s="72" t="n">
        <x:f>'Occupancy &amp; Rooms'!I12</x:f>
        <x:v>0.683972602739726</x:v>
      </x:c>
      <x:c r="M12" s="68"/>
      <x:c r="N12" s="68"/>
      <x:c r="O12" s="68"/>
      <x:c r="P12" s="68"/>
      <x:c r="Q12" s="68"/>
      <x:c r="R12" s="68"/>
    </x:row>
    <x:row r="13" ht="15" hidden="0" customHeight="1">
      <x:c r="A13" s="68"/>
      <x:c r="B13" s="68"/>
      <x:c r="C13" s="68" t="str">
        <x:v>Equity investor IRR</x:v>
      </x:c>
      <x:c r="D13" s="74" t="n">
        <x:v>0</x:v>
      </x:c>
      <x:c r="E13" s="73" t="n">
        <x:f>'Debt &amp; Returns'!$D$36</x:f>
        <x:v>0.32883297689282526</x:v>
      </x:c>
      <x:c r="F13" s="68" t="str">
        <x:v>%</x:v>
      </x:c>
      <x:c r="G13" s="68" t="str">
        <x:v>Levered return including terminal value</x:v>
      </x:c>
      <x:c r="H13" s="68"/>
      <x:c r="I13" s="68"/>
      <x:c r="J13" s="68" t="n">
        <x:v>7</x:v>
      </x:c>
      <x:c r="K13" s="72" t="n">
        <x:f>'Assumptions'!$D$23</x:f>
        <x:v>0.25</x:v>
      </x:c>
      <x:c r="L13" s="72" t="n">
        <x:f>'Occupancy &amp; Rooms'!J12</x:f>
        <x:v>0.683972602739726</x:v>
      </x:c>
      <x:c r="M13" s="68"/>
      <x:c r="N13" s="68"/>
      <x:c r="O13" s="68"/>
      <x:c r="P13" s="68"/>
      <x:c r="Q13" s="68"/>
      <x:c r="R13" s="68"/>
    </x:row>
    <x:row r="14" ht="15" hidden="0" customHeight="1">
      <x:c r="A14" s="68"/>
      <x:c r="B14" s="68"/>
      <x:c r="C14" s="68" t="str">
        <x:v>Minimum DSCR from Year 2</x:v>
      </x:c>
      <x:c r="D14" s="74" t="n">
        <x:v>0</x:v>
      </x:c>
      <x:c r="E14" s="77" t="n">
        <x:f>'Debt &amp; Returns'!$D$38</x:f>
        <x:v>1.4006846891644817</x:v>
      </x:c>
      <x:c r="F14" s="68" t="str">
        <x:v>x</x:v>
      </x:c>
      <x:c r="G14" s="68" t="str">
        <x:v>Year 1 reserve required</x:v>
      </x:c>
      <x:c r="H14" s="68"/>
      <x:c r="I14" s="68"/>
      <x:c r="J14" s="68" t="n">
        <x:v>8</x:v>
      </x:c>
      <x:c r="K14" s="72" t="n">
        <x:f>'Assumptions'!$D$23</x:f>
        <x:v>0.25</x:v>
      </x:c>
      <x:c r="L14" s="72" t="n">
        <x:f>'Occupancy &amp; Rooms'!K12</x:f>
        <x:v>0.683972602739726</x:v>
      </x:c>
      <x:c r="M14" s="68"/>
      <x:c r="N14" s="68"/>
      <x:c r="O14" s="68"/>
      <x:c r="P14" s="68"/>
      <x:c r="Q14" s="68"/>
      <x:c r="R14" s="68"/>
    </x:row>
    <x:row r="15" ht="15" hidden="0" customHeight="1">
      <x:c r="A15" s="68"/>
      <x:c r="B15" s="68"/>
      <x:c r="C15" s="68" t="str">
        <x:v>Villa owner yield</x:v>
      </x:c>
      <x:c r="D15" s="73" t="n">
        <x:f>'Debt &amp; Returns'!$D$42</x:f>
        <x:v>0.03345833333333334</x:v>
      </x:c>
      <x:c r="E15" s="73" t="n">
        <x:f>'Debt &amp; Returns'!$D$43</x:f>
        <x:v>0.09153833333333333</x:v>
      </x:c>
      <x:c r="F15" s="68" t="str">
        <x:v>%</x:v>
      </x:c>
      <x:c r="G15" s="68" t="str">
        <x:v>Room-revenue payout proxy</x:v>
      </x:c>
      <x:c r="H15" s="68"/>
      <x:c r="I15" s="68"/>
      <x:c r="J15" s="68" t="n">
        <x:v>9</x:v>
      </x:c>
      <x:c r="K15" s="72" t="n">
        <x:f>'Assumptions'!$D$23</x:f>
        <x:v>0.25</x:v>
      </x:c>
      <x:c r="L15" s="72" t="n">
        <x:f>'Occupancy &amp; Rooms'!L12</x:f>
        <x:v>0.683972602739726</x:v>
      </x:c>
      <x:c r="M15" s="68"/>
      <x:c r="N15" s="68"/>
      <x:c r="O15" s="68"/>
      <x:c r="P15" s="68"/>
      <x:c r="Q15" s="68"/>
      <x:c r="R15" s="68"/>
    </x:row>
    <x:row r="16" ht="15" hidden="0" customHeight="1">
      <x:c r="A16" s="68"/>
      <x:c r="B16" s="68"/>
      <x:c r="C16" s="68" t="str">
        <x:v>Incremental hotel revenue</x:v>
      </x:c>
      <x:c r="D16" s="74" t="n">
        <x:v>0</x:v>
      </x:c>
      <x:c r="E16" s="76" t="n">
        <x:f>'Occupancy &amp; Rooms'!I16/1000000000</x:f>
        <x:v>68.86088001342</x:v>
      </x:c>
      <x:c r="F16" s="68" t="str">
        <x:v>Rp bn/year</x:v>
      </x:c>
      <x:c r="G16" s="68" t="str">
        <x:v>Room plus dinner revenue, Year 6 nominal</x:v>
      </x:c>
      <x:c r="H16" s="68"/>
      <x:c r="I16" s="68"/>
      <x:c r="J16" s="68" t="n">
        <x:v>10</x:v>
      </x:c>
      <x:c r="K16" s="72" t="n">
        <x:f>'Assumptions'!$D$23</x:f>
        <x:v>0.25</x:v>
      </x:c>
      <x:c r="L16" s="72" t="n">
        <x:f>'Occupancy &amp; Rooms'!M12</x:f>
        <x:v>0.683972602739726</x:v>
      </x:c>
      <x:c r="M16" s="68"/>
      <x:c r="N16" s="68"/>
      <x:c r="O16" s="68"/>
      <x:c r="P16" s="68"/>
      <x:c r="Q16" s="68"/>
      <x:c r="R16" s="68"/>
    </x:row>
    <x:row r="17" ht="15" hidden="0" customHeight="1">
      <x:c r="A17" s="68"/>
      <x:c r="B17" s="68"/>
      <x:c r="C17" s="68"/>
      <x:c r="D17" s="68"/>
      <x:c r="E17" s="68"/>
      <x:c r="F17" s="68"/>
      <x:c r="G17" s="68"/>
      <x:c r="H17" s="68"/>
      <x:c r="I17" s="68"/>
      <x:c r="J17" s="68" t="n">
        <x:v>11</x:v>
      </x:c>
      <x:c r="K17" s="72" t="n">
        <x:f>'Assumptions'!$D$23</x:f>
        <x:v>0.25</x:v>
      </x:c>
      <x:c r="L17" s="72" t="n">
        <x:f>'Occupancy &amp; Rooms'!N12</x:f>
        <x:v>0.683972602739726</x:v>
      </x:c>
      <x:c r="M17" s="68"/>
      <x:c r="N17" s="68"/>
      <x:c r="O17" s="68"/>
      <x:c r="P17" s="68"/>
      <x:c r="Q17" s="68"/>
      <x:c r="R17" s="68"/>
    </x:row>
    <x:row r="18" ht="15" hidden="0" customHeight="1">
      <x:c r="A18" s="68"/>
      <x:c r="B18" s="68"/>
      <x:c r="C18" s="68"/>
      <x:c r="D18" s="68"/>
      <x:c r="E18" s="68"/>
      <x:c r="F18" s="68"/>
      <x:c r="G18" s="68"/>
      <x:c r="H18" s="68"/>
      <x:c r="I18" s="68"/>
      <x:c r="J18" s="68" t="n">
        <x:v>12</x:v>
      </x:c>
      <x:c r="K18" s="72" t="n">
        <x:f>'Assumptions'!$D$23</x:f>
        <x:v>0.25</x:v>
      </x:c>
      <x:c r="L18" s="72" t="n">
        <x:f>'Occupancy &amp; Rooms'!O12</x:f>
        <x:v>0.683972602739726</x:v>
      </x:c>
      <x:c r="M18" s="68"/>
      <x:c r="N18" s="68"/>
      <x:c r="O18" s="68"/>
      <x:c r="P18" s="68"/>
      <x:c r="Q18" s="68"/>
      <x:c r="R18" s="68"/>
    </x:row>
    <x:row r="19" ht="15" hidden="0" customHeight="1">
      <x:c r="A19" s="68"/>
      <x:c r="B19" s="68"/>
      <x:c r="C19" s="11" t="str">
        <x:v>Investment Structure</x:v>
      </x:c>
      <x:c r="D19" s="12"/>
      <x:c r="E19" s="12"/>
      <x:c r="F19" s="12"/>
      <x:c r="G19" s="13"/>
      <x:c r="H19" s="68"/>
      <x:c r="I19" s="68"/>
      <x:c r="J19" s="68" t="n">
        <x:v>13</x:v>
      </x:c>
      <x:c r="K19" s="72" t="n">
        <x:f>'Assumptions'!$D$23</x:f>
        <x:v>0.25</x:v>
      </x:c>
      <x:c r="L19" s="72" t="n">
        <x:f>'Occupancy &amp; Rooms'!P12</x:f>
        <x:v>0.683972602739726</x:v>
      </x:c>
      <x:c r="M19" s="68"/>
      <x:c r="N19" s="68"/>
      <x:c r="O19" s="68"/>
      <x:c r="P19" s="68"/>
      <x:c r="Q19" s="68"/>
      <x:c r="R19" s="68"/>
    </x:row>
    <x:row r="20" ht="15" hidden="0" customHeight="1">
      <x:c r="A20" s="68"/>
      <x:c r="B20" s="68"/>
      <x:c r="C20" s="19" t="str">
        <x:v>Capital provider</x:v>
      </x:c>
      <x:c r="D20" s="19" t="str">
        <x:v>Initial exposure</x:v>
      </x:c>
      <x:c r="E20" s="19" t="str">
        <x:v>Return</x:v>
      </x:c>
      <x:c r="F20" s="19" t="str">
        <x:v>Key protection</x:v>
      </x:c>
      <x:c r="G20" s="19" t="str">
        <x:v>Base Case conclusion</x:v>
      </x:c>
      <x:c r="H20" s="68"/>
      <x:c r="I20" s="68"/>
      <x:c r="J20" s="68" t="n">
        <x:v>14</x:v>
      </x:c>
      <x:c r="K20" s="72" t="n">
        <x:f>'Assumptions'!$D$23</x:f>
        <x:v>0.25</x:v>
      </x:c>
      <x:c r="L20" s="72" t="n">
        <x:f>'Occupancy &amp; Rooms'!Q12</x:f>
        <x:v>0.683972602739726</x:v>
      </x:c>
      <x:c r="M20" s="68"/>
      <x:c r="N20" s="68"/>
      <x:c r="O20" s="68"/>
      <x:c r="P20" s="68"/>
      <x:c r="Q20" s="68"/>
      <x:c r="R20" s="68"/>
    </x:row>
    <x:row r="21" ht="32.400001525878906" hidden="0" customHeight="1">
      <x:c r="A21" s="68"/>
      <x:c r="B21" s="68"/>
      <x:c r="C21" s="78" t="str">
        <x:v>Bank</x:v>
      </x:c>
      <x:c r="D21" s="79" t="n">
        <x:f>'Debt &amp; Returns'!$D$11/1000000000</x:f>
        <x:v>17.4</x:v>
      </x:c>
      <x:c r="E21" s="78" t="str">
        <x:v>10.5% contractual interest</x:v>
      </x:c>
      <x:c r="F21" s="78" t="str">
        <x:v>Year 1 reserve, 2-year principal grace, DSCR covenant</x:v>
      </x:c>
      <x:c r="G21" s="78" t="str">
        <x:f>'Debt &amp; Returns'!$D$45</x:f>
        <x:v>Conditionally bankable</x:v>
      </x:c>
      <x:c r="H21" s="68"/>
      <x:c r="I21" s="68"/>
      <x:c r="J21" s="68" t="n">
        <x:v>15</x:v>
      </x:c>
      <x:c r="K21" s="72" t="n">
        <x:f>'Assumptions'!$D$23</x:f>
        <x:v>0.25</x:v>
      </x:c>
      <x:c r="L21" s="72" t="n">
        <x:f>'Occupancy &amp; Rooms'!R12</x:f>
        <x:v>0.683972602739726</x:v>
      </x:c>
      <x:c r="M21" s="68"/>
      <x:c r="N21" s="68"/>
      <x:c r="O21" s="68"/>
      <x:c r="P21" s="68"/>
      <x:c r="Q21" s="68"/>
      <x:c r="R21" s="68"/>
    </x:row>
    <x:row r="22" ht="32.400001525878906" hidden="0" customHeight="1">
      <x:c r="A22" s="68"/>
      <x:c r="B22" s="68"/>
      <x:c r="C22" s="78" t="str">
        <x:v>Equity investor / operator SPV</x:v>
      </x:c>
      <x:c r="D22" s="79" t="n">
        <x:f>'Debt &amp; Returns'!$D$12/1000000000</x:f>
        <x:v>11.6</x:v>
      </x:c>
      <x:c r="E22" s="80" t="n">
        <x:f>'Debt &amp; Returns'!$D$36</x:f>
        <x:v>0.32883297689282526</x:v>
      </x:c>
      <x:c r="F22" s="78" t="str">
        <x:v>Long lease, packaged demand contracts, operating KPIs</x:v>
      </x:c>
      <x:c r="G22" s="78" t="str">
        <x:v>Attractive if ramp and visitor margin are achieved</x:v>
      </x:c>
      <x:c r="H22" s="68"/>
      <x:c r="I22" s="68"/>
      <x:c r="J22" s="68"/>
      <x:c r="K22" s="68"/>
      <x:c r="L22" s="68"/>
      <x:c r="M22" s="68"/>
      <x:c r="N22" s="68"/>
      <x:c r="O22" s="68"/>
      <x:c r="P22" s="68"/>
      <x:c r="Q22" s="68"/>
      <x:c r="R22" s="68"/>
    </x:row>
    <x:row r="23" ht="21.600000381469727" hidden="0" customHeight="1">
      <x:c r="A23" s="68"/>
      <x:c r="B23" s="68"/>
      <x:c r="C23" s="78" t="str">
        <x:v>Tanjung Lesung</x:v>
      </x:c>
      <x:c r="D23" s="79" t="n">
        <x:f>'Debt &amp; Returns'!$D$9/1000000000</x:f>
        <x:v>32.5</x:v>
      </x:c>
      <x:c r="E23" s="80" t="n">
        <x:f>'Debt &amp; Returns'!$D$41</x:f>
        <x:v>0.09785439334993269</x:v>
      </x:c>
      <x:c r="F23" s="78" t="str">
        <x:v>Retains land and destination control</x:v>
      </x:c>
      <x:c r="G23" s="78" t="str">
        <x:v>Recurring lease plus visitor revenue share</x:v>
      </x:c>
      <x:c r="H23" s="68"/>
      <x:c r="I23" s="68"/>
      <x:c r="J23" s="68"/>
      <x:c r="K23" s="68"/>
      <x:c r="L23" s="68"/>
      <x:c r="M23" s="68"/>
      <x:c r="N23" s="68"/>
      <x:c r="O23" s="68"/>
      <x:c r="P23" s="68"/>
      <x:c r="Q23" s="68"/>
      <x:c r="R23" s="68"/>
    </x:row>
    <x:row r="24" ht="21.600000381469727" hidden="0" customHeight="1">
      <x:c r="A24" s="68"/>
      <x:c r="B24" s="68"/>
      <x:c r="C24" s="78" t="str">
        <x:v>Hotel / villa owner</x:v>
      </x:c>
      <x:c r="D24" s="79" t="n">
        <x:f>'Assumptions'!$D$53/1000000000</x:f>
        <x:v>1.5</x:v>
      </x:c>
      <x:c r="E24" s="80" t="n">
        <x:f>'Debt &amp; Returns'!$D$43</x:f>
        <x:v>0.09153833333333333</x:v>
      </x:c>
      <x:c r="F24" s="78" t="str">
        <x:v>Professional rental pool and weekday allotment</x:v>
      </x:c>
      <x:c r="G24" s="78" t="str">
        <x:v>Yield rises as room nights move into weekdays</x:v>
      </x:c>
      <x:c r="H24" s="68"/>
      <x:c r="I24" s="68"/>
      <x:c r="J24" s="68" t="str">
        <x:v>Year</x:v>
      </x:c>
      <x:c r="K24" s="68" t="str">
        <x:v>EBITDA</x:v>
      </x:c>
      <x:c r="L24" s="68" t="str">
        <x:v>CFADS</x:v>
      </x:c>
      <x:c r="M24" s="68"/>
      <x:c r="N24" s="68"/>
      <x:c r="O24" s="68"/>
      <x:c r="P24" s="68"/>
      <x:c r="Q24" s="68"/>
      <x:c r="R24" s="68"/>
    </x:row>
    <x:row r="25" ht="15" hidden="0" customHeight="1">
      <x:c r="A25" s="68"/>
      <x:c r="B25" s="68"/>
      <x:c r="C25" s="78" t="str">
        <x:v>Stage 1 capacity</x:v>
      </x:c>
      <x:c r="D25" s="78" t="str">
        <x:v>600 guests/week</x:v>
      </x:c>
      <x:c r="E25" s="78" t="str">
        <x:v>300 rooms/night</x:v>
      </x:c>
      <x:c r="F25" s="78" t="str">
        <x:v>Six sites at 200 visits/day</x:v>
      </x:c>
      <x:c r="G25" s="78" t="str">
        <x:v>Fills current inventory before adding rooms</x:v>
      </x:c>
      <x:c r="H25" s="68"/>
      <x:c r="I25" s="68"/>
      <x:c r="J25" s="68" t="n">
        <x:v>1</x:v>
      </x:c>
      <x:c r="K25" s="81" t="n">
        <x:f>'Operating Model'!D27</x:f>
        <x:v>1214287490.88</x:v>
      </x:c>
      <x:c r="L25" s="81" t="n">
        <x:f>'Operating Model'!D35</x:f>
        <x:v>624904490.8800001</x:v>
      </x:c>
      <x:c r="M25" s="68"/>
      <x:c r="N25" s="68"/>
      <x:c r="O25" s="68"/>
      <x:c r="P25" s="68"/>
      <x:c r="Q25" s="68"/>
      <x:c r="R25" s="68"/>
    </x:row>
    <x:row r="26" ht="21.600000381469727" hidden="0" customHeight="1">
      <x:c r="A26" s="68"/>
      <x:c r="B26" s="68"/>
      <x:c r="C26" s="78" t="str">
        <x:v>Expansion trigger</x:v>
      </x:c>
      <x:c r="D26" s="78" t="str">
        <x:v>90% capacity for 12 months</x:v>
      </x:c>
      <x:c r="E26" s="78" t="str">
        <x:v>Prepare Stage 2</x:v>
      </x:c>
      <x:c r="F26" s="78" t="str">
        <x:v>Add new attractions, not oversized farms</x:v>
      </x:c>
      <x:c r="G26" s="78" t="str">
        <x:v>Supports future 300-room expansion</x:v>
      </x:c>
      <x:c r="H26" s="68"/>
      <x:c r="I26" s="68"/>
      <x:c r="J26" s="68" t="n">
        <x:v>2</x:v>
      </x:c>
      <x:c r="K26" s="81" t="n">
        <x:f>'Operating Model'!E27</x:f>
        <x:v>4012969615.424</x:v>
      </x:c>
      <x:c r="L26" s="81" t="n">
        <x:f>'Operating Model'!E35</x:f>
        <x:v>3104134400.0307198</x:v>
      </x:c>
      <x:c r="M26" s="68"/>
      <x:c r="N26" s="68"/>
      <x:c r="O26" s="68"/>
      <x:c r="P26" s="68"/>
      <x:c r="Q26" s="68"/>
      <x:c r="R26" s="68"/>
    </x:row>
    <x:row r="27" ht="15" hidden="0" customHeight="1">
      <x:c r="A27" s="68"/>
      <x:c r="B27" s="68"/>
      <x:c r="C27" s="68"/>
      <x:c r="D27" s="68"/>
      <x:c r="E27" s="68"/>
      <x:c r="F27" s="68"/>
      <x:c r="G27" s="68"/>
      <x:c r="H27" s="68"/>
      <x:c r="I27" s="68"/>
      <x:c r="J27" s="68" t="n">
        <x:v>3</x:v>
      </x:c>
      <x:c r="K27" s="81" t="n">
        <x:f>'Operating Model'!F27</x:f>
        <x:v>7249301577.9952</x:v>
      </x:c>
      <x:c r="L27" s="81" t="n">
        <x:f>'Operating Model'!F35</x:f>
        <x:v>5605540126.036256</x:v>
      </x:c>
      <x:c r="M27" s="68"/>
      <x:c r="N27" s="68"/>
      <x:c r="O27" s="68"/>
      <x:c r="P27" s="68"/>
      <x:c r="Q27" s="68"/>
      <x:c r="R27" s="68"/>
    </x:row>
    <x:row r="28" ht="15" hidden="0" customHeight="1">
      <x:c r="A28" s="68"/>
      <x:c r="B28" s="68"/>
      <x:c r="C28" s="68"/>
      <x:c r="D28" s="68"/>
      <x:c r="E28" s="68"/>
      <x:c r="F28" s="68"/>
      <x:c r="G28" s="68"/>
      <x:c r="H28" s="68"/>
      <x:c r="I28" s="68"/>
      <x:c r="J28" s="68" t="n">
        <x:v>4</x:v>
      </x:c>
      <x:c r="K28" s="81" t="n">
        <x:f>'Operating Model'!G27</x:f>
        <x:v>10502691417.380463</x:v>
      </x:c>
      <x:c r="L28" s="81" t="n">
        <x:f>'Operating Model'!G35</x:f>
        <x:v>8105654565.433761</x:v>
      </x:c>
      <x:c r="M28" s="68"/>
      <x:c r="N28" s="68"/>
      <x:c r="O28" s="68"/>
      <x:c r="P28" s="68"/>
      <x:c r="Q28" s="68"/>
      <x:c r="R28" s="68"/>
    </x:row>
    <x:row r="29" ht="15" hidden="0" customHeight="1">
      <x:c r="A29" s="68"/>
      <x:c r="B29" s="68"/>
      <x:c r="C29" s="82" t="str">
        <x:v>CEO decision</x:v>
      </x:c>
      <x:c r="D29" s="83" t="str">
        <x:v>Proceed with operator RFP and bank pre-screening</x:v>
      </x:c>
      <x:c r="E29" s="83" t="str"/>
      <x:c r="F29" s="83" t="str"/>
      <x:c r="G29" s="83" t="str"/>
      <x:c r="H29" s="68"/>
      <x:c r="I29" s="68"/>
      <x:c r="J29" s="68" t="n">
        <x:v>5</x:v>
      </x:c>
      <x:c r="K29" s="81" t="n">
        <x:f>'Operating Model'!H27</x:f>
        <x:v>12882038415.743546</x:v>
      </x:c>
      <x:c r="L29" s="81" t="n">
        <x:f>'Operating Model'!H35</x:f>
        <x:v>9979564157.756168</x:v>
      </x:c>
      <x:c r="M29" s="68"/>
      <x:c r="N29" s="68"/>
      <x:c r="O29" s="68"/>
      <x:c r="P29" s="68"/>
      <x:c r="Q29" s="68"/>
      <x:c r="R29" s="68"/>
    </x:row>
    <x:row r="30" ht="15" hidden="0" customHeight="1">
      <x:c r="A30" s="68"/>
      <x:c r="B30" s="68"/>
      <x:c r="C30" s="82" t="str">
        <x:v>Conditions</x:v>
      </x:c>
      <x:c r="D30" s="83" t="str">
        <x:v>Validate five non-avocado operator budgets, secure weekday group sales pipeline, complete hazard and biosecurity due diligence</x:v>
      </x:c>
      <x:c r="E30" s="83" t="str"/>
      <x:c r="F30" s="83" t="str"/>
      <x:c r="G30" s="83" t="str"/>
      <x:c r="H30" s="68"/>
      <x:c r="I30" s="68"/>
      <x:c r="J30" s="68" t="n">
        <x:v>6</x:v>
      </x:c>
      <x:c r="K30" s="81" t="n">
        <x:f>'Operating Model'!I27</x:f>
        <x:v>14580920079.670921</x:v>
      </x:c>
      <x:c r="L30" s="81" t="n">
        <x:f>'Operating Model'!I35</x:f>
        <x:v>11292607104.672913</x:v>
      </x:c>
      <x:c r="M30" s="68"/>
      <x:c r="N30" s="68"/>
      <x:c r="O30" s="68"/>
      <x:c r="P30" s="68"/>
      <x:c r="Q30" s="68"/>
      <x:c r="R30" s="68"/>
    </x:row>
    <x:row r="31" ht="15" hidden="0" customHeight="1">
      <x:c r="A31" s="68"/>
      <x:c r="B31" s="68"/>
      <x:c r="C31" s="82" t="str">
        <x:v>Do not commit yet</x:v>
      </x:c>
      <x:c r="D31" s="83" t="str">
        <x:v>New 300-room supply, until Stage 1 demand proves at least 90% package capacity for 12 months</x:v>
      </x:c>
      <x:c r="E31" s="83" t="str"/>
      <x:c r="F31" s="83" t="str"/>
      <x:c r="G31" s="83" t="str"/>
      <x:c r="H31" s="68"/>
      <x:c r="I31" s="68"/>
      <x:c r="J31" s="68" t="n">
        <x:v>7</x:v>
      </x:c>
      <x:c r="K31" s="81" t="n">
        <x:f>'Operating Model'!J27</x:f>
        <x:v>15144013967.032045</x:v>
      </x:c>
      <x:c r="L31" s="81" t="n">
        <x:f>'Operating Model'!J35</x:f>
        <x:v>11759171988.288418</x:v>
      </x:c>
      <x:c r="M31" s="68"/>
      <x:c r="N31" s="68"/>
      <x:c r="O31" s="68"/>
      <x:c r="P31" s="68"/>
      <x:c r="Q31" s="68"/>
      <x:c r="R31" s="68"/>
    </x:row>
    <x:row r="32" ht="15" hidden="0" customHeight="1">
      <x:c r="A32" s="68"/>
      <x:c r="B32" s="68"/>
      <x:c r="C32" s="82" t="str">
        <x:v>Base Case</x:v>
      </x:c>
      <x:c r="D32" s="83" t="str">
        <x:v>44 package weeks, 90% steady package utilization, 50% weekend utilization</x:v>
      </x:c>
      <x:c r="E32" s="83" t="str"/>
      <x:c r="F32" s="83" t="str"/>
      <x:c r="G32" s="83" t="str"/>
      <x:c r="H32" s="68"/>
      <x:c r="I32" s="68"/>
      <x:c r="J32" s="68" t="n">
        <x:v>8</x:v>
      </x:c>
      <x:c r="K32" s="81" t="n">
        <x:f>'Operating Model'!K27</x:f>
        <x:v>15806580267.744137</x:v>
      </x:c>
      <x:c r="L32" s="81" t="n">
        <x:f>'Operating Model'!K35</x:f>
        <x:v>12220919174.9969</x:v>
      </x:c>
      <x:c r="M32" s="68"/>
      <x:c r="N32" s="68"/>
      <x:c r="O32" s="68"/>
      <x:c r="P32" s="68"/>
      <x:c r="Q32" s="68"/>
      <x:c r="R32" s="68"/>
    </x:row>
    <x:row r="33" ht="15" hidden="0" customHeight="1">
      <x:c r="A33" s="68"/>
      <x:c r="B33" s="68"/>
      <x:c r="C33" s="82" t="str">
        <x:v>Model status</x:v>
      </x:c>
      <x:c r="D33" s="83" t="str">
        <x:v>Investment-screening assumptions; not an approved budget, lender term sheet, or guaranteed return</x:v>
      </x:c>
      <x:c r="E33" s="83" t="str"/>
      <x:c r="F33" s="83" t="str"/>
      <x:c r="G33" s="83" t="str"/>
      <x:c r="H33" s="68"/>
      <x:c r="I33" s="68"/>
      <x:c r="J33" s="68" t="n">
        <x:v>9</x:v>
      </x:c>
      <x:c r="K33" s="81" t="n">
        <x:f>'Operating Model'!L27</x:f>
        <x:v>16469534374.394125</x:v>
      </x:c>
      <x:c r="L33" s="81" t="n">
        <x:f>'Operating Model'!L35</x:f>
        <x:v>12686433405.15168</x:v>
      </x:c>
      <x:c r="M33" s="68"/>
      <x:c r="N33" s="68"/>
      <x:c r="O33" s="68"/>
      <x:c r="P33" s="68"/>
      <x:c r="Q33" s="68"/>
      <x:c r="R33" s="68"/>
    </x:row>
    <x:row r="34" ht="15" hidden="0" customHeight="1">
      <x:c r="A34" s="68"/>
      <x:c r="B34" s="68"/>
      <x:c r="C34" s="68"/>
      <x:c r="D34" s="68"/>
      <x:c r="E34" s="68"/>
      <x:c r="F34" s="68"/>
      <x:c r="G34" s="68"/>
      <x:c r="H34" s="68"/>
      <x:c r="I34" s="68"/>
      <x:c r="J34" s="68" t="n">
        <x:v>10</x:v>
      </x:c>
      <x:c r="K34" s="81" t="n">
        <x:f>'Operating Model'!M27</x:f>
        <x:v>17152383718.711424</x:v>
      </x:c>
      <x:c r="L34" s="81" t="n">
        <x:f>'Operating Model'!M35</x:f>
        <x:v>13166706075.938395</x:v>
      </x:c>
      <x:c r="M34" s="68"/>
      <x:c r="N34" s="68"/>
      <x:c r="O34" s="68"/>
      <x:c r="P34" s="68"/>
      <x:c r="Q34" s="68"/>
      <x:c r="R34" s="68"/>
    </x:row>
    <x:row r="35" ht="15" hidden="0" customHeight="1">
      <x:c r="A35" s="68"/>
      <x:c r="B35" s="68"/>
      <x:c r="C35" s="68"/>
      <x:c r="D35" s="68"/>
      <x:c r="E35" s="68"/>
      <x:c r="F35" s="68"/>
      <x:c r="G35" s="68"/>
      <x:c r="H35" s="68"/>
      <x:c r="I35" s="68"/>
      <x:c r="J35" s="84" t="n">
        <x:v>11</x:v>
      </x:c>
      <x:c r="K35" s="85" t="n">
        <x:f>'Operating Model'!N27</x:f>
        <x:v>17855530638.760204</x:v>
      </x:c>
      <x:c r="L35" s="85" t="n">
        <x:f>'Operating Model'!N35</x:f>
        <x:v>13662743697.438778</x:v>
      </x:c>
      <x:c r="M35" s="68"/>
      <x:c r="N35" s="68"/>
      <x:c r="O35" s="68"/>
      <x:c r="P35" s="68"/>
      <x:c r="Q35" s="68"/>
      <x:c r="R35" s="68"/>
    </x:row>
    <x:row r="36" ht="15" hidden="0" customHeight="1">
      <x:c r="A36" s="68"/>
      <x:c r="B36" s="68"/>
      <x:c r="C36" s="68"/>
      <x:c r="D36" s="68"/>
      <x:c r="E36" s="68"/>
      <x:c r="F36" s="68"/>
      <x:c r="G36" s="68"/>
      <x:c r="H36" s="68"/>
      <x:c r="I36" s="68"/>
      <x:c r="J36" s="84" t="n">
        <x:v>12</x:v>
      </x:c>
      <x:c r="K36" s="85" t="n">
        <x:f>'Operating Model'!O27</x:f>
        <x:v>18579375968.816566</x:v>
      </x:c>
      <x:c r="L36" s="85" t="n">
        <x:f>'Operating Model'!O35</x:f>
        <x:v>14225099342.862288</x:v>
      </x:c>
      <x:c r="M36" s="68"/>
      <x:c r="N36" s="68"/>
      <x:c r="O36" s="68"/>
      <x:c r="P36" s="68"/>
      <x:c r="Q36" s="68"/>
      <x:c r="R36" s="68"/>
    </x:row>
    <x:row r="37" ht="15" hidden="0" customHeight="1">
      <x:c r="A37" s="68"/>
      <x:c r="B37" s="68"/>
      <x:c r="C37" s="68"/>
      <x:c r="D37" s="68"/>
      <x:c r="E37" s="68"/>
      <x:c r="F37" s="68"/>
      <x:c r="G37" s="68"/>
      <x:c r="H37" s="68"/>
      <x:c r="I37" s="68"/>
      <x:c r="J37" s="84" t="n">
        <x:v>13</x:v>
      </x:c>
      <x:c r="K37" s="85" t="n">
        <x:f>'Operating Model'!P27</x:f>
        <x:v>19324318244.940746</x:v>
      </x:c>
      <x:c r="L37" s="85" t="n">
        <x:f>'Operating Model'!P35</x:f>
        <x:v>14803839229.80724</x:v>
      </x:c>
      <x:c r="M37" s="68"/>
      <x:c r="N37" s="68"/>
      <x:c r="O37" s="68"/>
      <x:c r="P37" s="68"/>
      <x:c r="Q37" s="68"/>
      <x:c r="R37" s="68"/>
    </x:row>
    <x:row r="38" ht="15" hidden="0" customHeight="1">
      <x:c r="A38" s="68"/>
      <x:c r="B38" s="68"/>
      <x:c r="C38" s="68"/>
      <x:c r="D38" s="68"/>
      <x:c r="E38" s="68"/>
      <x:c r="F38" s="68"/>
      <x:c r="G38" s="68"/>
      <x:c r="H38" s="68"/>
      <x:c r="I38" s="68"/>
      <x:c r="J38" s="84" t="n">
        <x:v>14</x:v>
      </x:c>
      <x:c r="K38" s="85" t="n">
        <x:f>'Operating Model'!Q27</x:f>
        <x:v>20090752848.124817</x:v>
      </x:c>
      <x:c r="L38" s="85" t="n">
        <x:f>'Operating Model'!Q35</x:f>
        <x:v>15399269550.031315</x:v>
      </x:c>
      <x:c r="M38" s="68"/>
      <x:c r="N38" s="68"/>
      <x:c r="O38" s="68"/>
      <x:c r="P38" s="68"/>
      <x:c r="Q38" s="68"/>
      <x:c r="R38" s="68"/>
    </x:row>
    <x:row r="39" ht="15" hidden="0" customHeight="1">
      <x:c r="A39" s="68"/>
      <x:c r="B39" s="68"/>
      <x:c r="C39" s="68"/>
      <x:c r="D39" s="68"/>
      <x:c r="E39" s="68"/>
      <x:c r="F39" s="68"/>
      <x:c r="G39" s="68"/>
      <x:c r="H39" s="68"/>
      <x:c r="I39" s="68"/>
      <x:c r="J39" s="84" t="n">
        <x:v>15</x:v>
      </x:c>
      <x:c r="K39" s="85" t="n">
        <x:f>'Operating Model'!R27</x:f>
        <x:v>20879071081.201385</x:v>
      </x:c>
      <x:c r="L39" s="85" t="n">
        <x:f>'Operating Model'!R35</x:f>
        <x:v>16011693247.49979</x:v>
      </x:c>
      <x:c r="M39" s="68"/>
      <x:c r="N39" s="68"/>
      <x:c r="O39" s="68"/>
      <x:c r="P39" s="68"/>
      <x:c r="Q39" s="68"/>
      <x:c r="R39" s="68"/>
    </x:row>
    <x:row r="40" ht="15" hidden="0" customHeight="1">
      <x:c r="A40" s="68"/>
      <x:c r="B40" s="68"/>
      <x:c r="C40" s="68"/>
      <x:c r="D40" s="68"/>
      <x:c r="E40" s="68"/>
      <x:c r="F40" s="68"/>
      <x:c r="G40" s="68"/>
      <x:c r="H40" s="68"/>
      <x:c r="I40" s="68"/>
      <x:c r="J40" s="68"/>
      <x:c r="K40" s="68"/>
      <x:c r="L40" s="68"/>
      <x:c r="M40" s="68"/>
      <x:c r="N40" s="68"/>
      <x:c r="O40" s="68"/>
      <x:c r="P40" s="68"/>
      <x:c r="Q40" s="68"/>
      <x:c r="R40" s="68"/>
    </x:row>
    <x:row r="41" ht="15" hidden="0" customHeight="1">
      <x:c r="A41" s="68"/>
      <x:c r="B41" s="68"/>
      <x:c r="C41" s="68"/>
      <x:c r="D41" s="68"/>
      <x:c r="E41" s="68"/>
      <x:c r="F41" s="68"/>
      <x:c r="G41" s="68"/>
      <x:c r="H41" s="68"/>
      <x:c r="I41" s="68"/>
      <x:c r="J41" s="68"/>
      <x:c r="K41" s="68"/>
      <x:c r="L41" s="68"/>
      <x:c r="M41" s="68"/>
      <x:c r="N41" s="68"/>
      <x:c r="O41" s="68"/>
      <x:c r="P41" s="68"/>
      <x:c r="Q41" s="68"/>
      <x:c r="R41" s="68"/>
    </x:row>
    <x:row r="42" ht="15" hidden="0" customHeight="1">
      <x:c r="A42" s="68"/>
      <x:c r="B42" s="68"/>
      <x:c r="C42" s="68"/>
      <x:c r="D42" s="68"/>
      <x:c r="E42" s="68"/>
      <x:c r="F42" s="68"/>
      <x:c r="G42" s="68"/>
      <x:c r="H42" s="68"/>
      <x:c r="I42" s="68"/>
      <x:c r="J42" s="68"/>
      <x:c r="K42" s="68"/>
      <x:c r="L42" s="68"/>
      <x:c r="M42" s="68"/>
      <x:c r="N42" s="68"/>
      <x:c r="O42" s="68"/>
      <x:c r="P42" s="68"/>
      <x:c r="Q42" s="68"/>
      <x:c r="R42" s="68"/>
    </x:row>
    <x:row r="43" ht="15" hidden="0" customHeight="1">
      <x:c r="A43" s="68"/>
      <x:c r="B43" s="68"/>
      <x:c r="C43" s="68"/>
      <x:c r="D43" s="68"/>
      <x:c r="E43" s="68"/>
      <x:c r="F43" s="68"/>
      <x:c r="G43" s="68"/>
      <x:c r="H43" s="68"/>
      <x:c r="I43" s="68"/>
      <x:c r="J43" s="68"/>
      <x:c r="K43" s="68"/>
      <x:c r="L43" s="68"/>
      <x:c r="M43" s="68"/>
      <x:c r="N43" s="68"/>
      <x:c r="O43" s="68"/>
      <x:c r="P43" s="68"/>
      <x:c r="Q43" s="68"/>
      <x:c r="R43" s="68"/>
    </x:row>
    <x:row r="44" ht="15" hidden="0" customHeight="1">
      <x:c r="A44" s="68"/>
      <x:c r="B44" s="68"/>
      <x:c r="C44" s="68"/>
      <x:c r="D44" s="68"/>
      <x:c r="E44" s="68"/>
      <x:c r="F44" s="68"/>
      <x:c r="G44" s="68"/>
      <x:c r="H44" s="68"/>
      <x:c r="I44" s="68"/>
      <x:c r="J44" s="68"/>
      <x:c r="K44" s="68"/>
      <x:c r="L44" s="68"/>
      <x:c r="M44" s="68"/>
      <x:c r="N44" s="68"/>
      <x:c r="O44" s="68"/>
      <x:c r="P44" s="68"/>
      <x:c r="Q44" s="68"/>
      <x:c r="R44" s="68"/>
    </x:row>
    <x:row r="45" ht="15" hidden="0" customHeight="1">
      <x:c r="A45" s="68"/>
      <x:c r="B45" s="68"/>
      <x:c r="C45" s="68"/>
      <x:c r="D45" s="68"/>
      <x:c r="E45" s="68"/>
      <x:c r="F45" s="68"/>
      <x:c r="G45" s="68"/>
      <x:c r="H45" s="68"/>
      <x:c r="I45" s="68"/>
      <x:c r="J45" s="68"/>
      <x:c r="K45" s="68"/>
      <x:c r="L45" s="68"/>
      <x:c r="M45" s="68"/>
      <x:c r="N45" s="68"/>
      <x:c r="O45" s="68"/>
      <x:c r="P45" s="68"/>
      <x:c r="Q45" s="68"/>
      <x:c r="R45" s="68"/>
    </x:row>
    <x:row r="46" ht="15" hidden="0" customHeight="1">
      <x:c r="A46" s="68"/>
      <x:c r="B46" s="68"/>
      <x:c r="C46" s="68"/>
      <x:c r="D46" s="68"/>
      <x:c r="E46" s="68"/>
      <x:c r="F46" s="68"/>
      <x:c r="G46" s="68"/>
      <x:c r="H46" s="68"/>
      <x:c r="I46" s="68"/>
      <x:c r="J46" s="68"/>
      <x:c r="K46" s="68"/>
      <x:c r="L46" s="68"/>
      <x:c r="M46" s="68"/>
      <x:c r="N46" s="68"/>
      <x:c r="O46" s="68"/>
      <x:c r="P46" s="68"/>
      <x:c r="Q46" s="68"/>
      <x:c r="R46" s="68"/>
    </x:row>
    <x:row r="47" ht="15" hidden="0" customHeight="1">
      <x:c r="A47" s="68"/>
      <x:c r="B47" s="68"/>
      <x:c r="C47" s="68"/>
      <x:c r="D47" s="68"/>
      <x:c r="E47" s="68"/>
      <x:c r="F47" s="68"/>
      <x:c r="G47" s="68"/>
      <x:c r="H47" s="68"/>
      <x:c r="I47" s="68"/>
      <x:c r="J47" s="68"/>
      <x:c r="K47" s="68"/>
      <x:c r="L47" s="68"/>
      <x:c r="M47" s="68"/>
      <x:c r="N47" s="68"/>
      <x:c r="O47" s="68"/>
      <x:c r="P47" s="68"/>
      <x:c r="Q47" s="68"/>
      <x:c r="R47" s="68"/>
    </x:row>
    <x:row r="48" ht="15" hidden="0" customHeight="1">
      <x:c r="A48" s="68"/>
      <x:c r="B48" s="68"/>
      <x:c r="C48" s="68"/>
      <x:c r="D48" s="68"/>
      <x:c r="E48" s="68"/>
      <x:c r="F48" s="68"/>
      <x:c r="G48" s="68"/>
      <x:c r="H48" s="68"/>
      <x:c r="I48" s="68"/>
      <x:c r="J48" s="68"/>
      <x:c r="K48" s="68"/>
      <x:c r="L48" s="68"/>
      <x:c r="M48" s="68"/>
      <x:c r="N48" s="68"/>
      <x:c r="O48" s="68"/>
      <x:c r="P48" s="68"/>
      <x:c r="Q48" s="68"/>
      <x:c r="R48" s="68"/>
    </x:row>
    <x:row r="49" ht="15" hidden="0" customHeight="1">
      <x:c r="A49" s="68"/>
      <x:c r="B49" s="68"/>
      <x:c r="C49" s="68"/>
      <x:c r="D49" s="68"/>
      <x:c r="E49" s="68"/>
      <x:c r="F49" s="68"/>
      <x:c r="G49" s="68"/>
      <x:c r="H49" s="68"/>
      <x:c r="I49" s="68"/>
      <x:c r="J49" s="68"/>
      <x:c r="K49" s="68"/>
      <x:c r="L49" s="68"/>
      <x:c r="M49" s="68"/>
      <x:c r="N49" s="68"/>
      <x:c r="O49" s="68"/>
      <x:c r="P49" s="68"/>
      <x:c r="Q49" s="68"/>
      <x:c r="R49" s="68"/>
    </x:row>
    <x:row r="50" ht="15" hidden="0" customHeight="1">
      <x:c r="A50" s="68"/>
      <x:c r="B50" s="68"/>
      <x:c r="C50" s="68"/>
      <x:c r="D50" s="68"/>
      <x:c r="E50" s="68"/>
      <x:c r="F50" s="68"/>
      <x:c r="G50" s="68"/>
      <x:c r="H50" s="68"/>
      <x:c r="I50" s="68"/>
      <x:c r="J50" s="68"/>
      <x:c r="K50" s="68"/>
      <x:c r="L50" s="68"/>
      <x:c r="M50" s="68"/>
      <x:c r="N50" s="68"/>
      <x:c r="O50" s="68"/>
      <x:c r="P50" s="68"/>
      <x:c r="Q50" s="68"/>
      <x:c r="R50" s="68"/>
    </x:row>
    <x:row r="51" ht="15" hidden="0" customHeight="1">
      <x:c r="A51" s="68"/>
      <x:c r="B51" s="68"/>
      <x:c r="C51" s="68"/>
      <x:c r="D51" s="68"/>
      <x:c r="E51" s="68"/>
      <x:c r="F51" s="68"/>
      <x:c r="G51" s="68"/>
      <x:c r="H51" s="68"/>
      <x:c r="I51" s="68"/>
      <x:c r="J51" s="68"/>
      <x:c r="K51" s="68"/>
      <x:c r="L51" s="68"/>
      <x:c r="M51" s="68"/>
      <x:c r="N51" s="68"/>
      <x:c r="O51" s="68"/>
      <x:c r="P51" s="68"/>
      <x:c r="Q51" s="68"/>
      <x:c r="R51" s="68"/>
    </x:row>
    <x:row r="52" ht="15" hidden="0" customHeight="1">
      <x:c r="A52" s="68"/>
      <x:c r="B52" s="68"/>
      <x:c r="C52" s="68"/>
      <x:c r="D52" s="68"/>
      <x:c r="E52" s="68"/>
      <x:c r="F52" s="68"/>
      <x:c r="G52" s="68"/>
      <x:c r="H52" s="68"/>
      <x:c r="I52" s="68"/>
      <x:c r="J52" s="68"/>
      <x:c r="K52" s="68"/>
      <x:c r="L52" s="68"/>
      <x:c r="M52" s="68"/>
      <x:c r="N52" s="68"/>
      <x:c r="O52" s="68"/>
      <x:c r="P52" s="68"/>
      <x:c r="Q52" s="68"/>
      <x:c r="R52" s="68"/>
    </x:row>
    <x:row r="53" ht="15" hidden="0" customHeight="1">
      <x:c r="A53" s="68"/>
      <x:c r="B53" s="68"/>
      <x:c r="C53" s="68"/>
      <x:c r="D53" s="68"/>
      <x:c r="E53" s="68"/>
      <x:c r="F53" s="68"/>
      <x:c r="G53" s="68"/>
      <x:c r="H53" s="68"/>
      <x:c r="I53" s="68"/>
      <x:c r="J53" s="68"/>
      <x:c r="K53" s="68"/>
      <x:c r="L53" s="68"/>
      <x:c r="M53" s="68"/>
      <x:c r="N53" s="68"/>
      <x:c r="O53" s="68"/>
      <x:c r="P53" s="68"/>
      <x:c r="Q53" s="68"/>
      <x:c r="R53" s="68"/>
    </x:row>
    <x:row r="54" ht="15" hidden="0" customHeight="1">
      <x:c r="A54" s="68"/>
      <x:c r="B54" s="68"/>
      <x:c r="C54" s="68"/>
      <x:c r="D54" s="68"/>
      <x:c r="E54" s="68"/>
      <x:c r="F54" s="68"/>
      <x:c r="G54" s="68"/>
      <x:c r="H54" s="68"/>
      <x:c r="I54" s="68"/>
      <x:c r="J54" s="68"/>
      <x:c r="K54" s="68"/>
      <x:c r="L54" s="68"/>
      <x:c r="M54" s="68"/>
      <x:c r="N54" s="68"/>
      <x:c r="O54" s="68"/>
      <x:c r="P54" s="68"/>
      <x:c r="Q54" s="68"/>
      <x:c r="R54" s="68"/>
    </x:row>
    <x:row r="55" ht="15" hidden="0" customHeight="1">
      <x:c r="A55" s="68"/>
      <x:c r="B55" s="68"/>
      <x:c r="C55" s="68"/>
      <x:c r="D55" s="68"/>
      <x:c r="E55" s="68"/>
      <x:c r="F55" s="68"/>
      <x:c r="G55" s="68"/>
      <x:c r="H55" s="68"/>
      <x:c r="I55" s="68"/>
      <x:c r="J55" s="68"/>
      <x:c r="K55" s="68"/>
      <x:c r="L55" s="68"/>
      <x:c r="M55" s="68"/>
      <x:c r="N55" s="68"/>
      <x:c r="O55" s="68"/>
      <x:c r="P55" s="68"/>
      <x:c r="Q55" s="68"/>
      <x:c r="R55" s="68"/>
    </x:row>
    <x:row r="56" ht="15" hidden="0" customHeight="1">
      <x:c r="A56" s="68"/>
      <x:c r="B56" s="68"/>
      <x:c r="C56" s="68"/>
      <x:c r="D56" s="68"/>
      <x:c r="E56" s="68"/>
      <x:c r="F56" s="68"/>
      <x:c r="G56" s="68"/>
      <x:c r="H56" s="68"/>
      <x:c r="I56" s="68"/>
      <x:c r="J56" s="68"/>
      <x:c r="K56" s="68"/>
      <x:c r="L56" s="68"/>
      <x:c r="M56" s="68"/>
      <x:c r="N56" s="68"/>
      <x:c r="O56" s="68"/>
      <x:c r="P56" s="68"/>
      <x:c r="Q56" s="68"/>
      <x:c r="R56" s="68"/>
    </x:row>
    <x:row r="57" ht="15" hidden="0" customHeight="1">
      <x:c r="A57" s="68"/>
      <x:c r="B57" s="68"/>
      <x:c r="C57" s="68"/>
      <x:c r="D57" s="68"/>
      <x:c r="E57" s="68"/>
      <x:c r="F57" s="68"/>
      <x:c r="G57" s="68"/>
      <x:c r="H57" s="68"/>
      <x:c r="I57" s="68"/>
      <x:c r="J57" s="68"/>
      <x:c r="K57" s="68"/>
      <x:c r="L57" s="68"/>
      <x:c r="M57" s="68"/>
      <x:c r="N57" s="68"/>
      <x:c r="O57" s="68"/>
      <x:c r="P57" s="68"/>
      <x:c r="Q57" s="68"/>
      <x:c r="R57" s="68"/>
    </x:row>
    <x:row r="58" ht="15" hidden="0" customHeight="1">
      <x:c r="A58" s="68"/>
      <x:c r="B58" s="68"/>
      <x:c r="C58" s="68"/>
      <x:c r="D58" s="68"/>
      <x:c r="E58" s="68"/>
      <x:c r="F58" s="68"/>
      <x:c r="G58" s="68"/>
      <x:c r="H58" s="68"/>
      <x:c r="I58" s="68"/>
      <x:c r="J58" s="68"/>
      <x:c r="K58" s="68"/>
      <x:c r="L58" s="68"/>
      <x:c r="M58" s="68"/>
      <x:c r="N58" s="68"/>
      <x:c r="O58" s="68"/>
      <x:c r="P58" s="68"/>
      <x:c r="Q58" s="68"/>
      <x:c r="R58" s="68"/>
    </x:row>
    <x:row r="59" ht="15" hidden="0" customHeight="1">
      <x:c r="A59" s="68"/>
      <x:c r="B59" s="68"/>
      <x:c r="C59" s="68"/>
      <x:c r="D59" s="68"/>
      <x:c r="E59" s="68"/>
      <x:c r="F59" s="68"/>
      <x:c r="G59" s="68"/>
      <x:c r="H59" s="68"/>
      <x:c r="I59" s="68"/>
      <x:c r="J59" s="68"/>
      <x:c r="K59" s="68"/>
      <x:c r="L59" s="68"/>
      <x:c r="M59" s="68"/>
      <x:c r="N59" s="68"/>
      <x:c r="O59" s="68"/>
      <x:c r="P59" s="68"/>
      <x:c r="Q59" s="68"/>
      <x:c r="R59" s="68"/>
    </x:row>
    <x:row r="60" ht="15" hidden="0" customHeight="1">
      <x:c r="A60" s="68"/>
      <x:c r="B60" s="68"/>
      <x:c r="C60" s="68"/>
      <x:c r="D60" s="68"/>
      <x:c r="E60" s="68"/>
      <x:c r="F60" s="68"/>
      <x:c r="G60" s="68"/>
      <x:c r="H60" s="68"/>
      <x:c r="I60" s="68"/>
      <x:c r="J60" s="68"/>
      <x:c r="K60" s="68"/>
      <x:c r="L60" s="68"/>
      <x:c r="M60" s="68"/>
      <x:c r="N60" s="68"/>
      <x:c r="O60" s="68"/>
      <x:c r="P60" s="68"/>
      <x:c r="Q60" s="68"/>
      <x:c r="R60" s="68"/>
    </x:row>
    <x:row r="61" ht="15" hidden="0" customHeight="1">
      <x:c r="A61" s="68"/>
      <x:c r="B61" s="68"/>
      <x:c r="C61" s="68"/>
      <x:c r="D61" s="68"/>
      <x:c r="E61" s="68"/>
      <x:c r="F61" s="68"/>
      <x:c r="G61" s="68"/>
      <x:c r="H61" s="68"/>
      <x:c r="I61" s="68"/>
      <x:c r="J61" s="68"/>
      <x:c r="K61" s="68"/>
      <x:c r="L61" s="68"/>
      <x:c r="M61" s="68"/>
      <x:c r="N61" s="68"/>
      <x:c r="O61" s="68"/>
      <x:c r="P61" s="68"/>
      <x:c r="Q61" s="68"/>
      <x:c r="R61" s="68"/>
    </x:row>
    <x:row r="62" ht="15" hidden="0" customHeight="1">
      <x:c r="A62" s="68"/>
      <x:c r="B62" s="68"/>
      <x:c r="C62" s="68"/>
      <x:c r="D62" s="68"/>
      <x:c r="E62" s="68"/>
      <x:c r="F62" s="68"/>
      <x:c r="G62" s="68"/>
      <x:c r="H62" s="68"/>
      <x:c r="I62" s="68"/>
      <x:c r="J62" s="68"/>
      <x:c r="K62" s="68"/>
      <x:c r="L62" s="68"/>
      <x:c r="M62" s="68"/>
      <x:c r="N62" s="68"/>
      <x:c r="O62" s="68"/>
      <x:c r="P62" s="68"/>
      <x:c r="Q62" s="68"/>
      <x:c r="R62" s="68"/>
    </x:row>
    <x:row r="63" ht="15" hidden="0" customHeight="1">
      <x:c r="A63" s="68"/>
      <x:c r="B63" s="68"/>
      <x:c r="C63" s="68"/>
      <x:c r="D63" s="68"/>
      <x:c r="E63" s="68"/>
      <x:c r="F63" s="68"/>
      <x:c r="G63" s="68"/>
      <x:c r="H63" s="68"/>
      <x:c r="I63" s="68"/>
      <x:c r="J63" s="68"/>
      <x:c r="K63" s="68"/>
      <x:c r="L63" s="68"/>
      <x:c r="M63" s="68"/>
      <x:c r="N63" s="68"/>
      <x:c r="O63" s="68"/>
      <x:c r="P63" s="68"/>
      <x:c r="Q63" s="68"/>
      <x:c r="R63" s="68"/>
    </x:row>
    <x:row r="64" ht="15" hidden="0" customHeight="1">
      <x:c r="A64" s="68"/>
      <x:c r="B64" s="68"/>
      <x:c r="C64" s="68"/>
      <x:c r="D64" s="68"/>
      <x:c r="E64" s="68"/>
      <x:c r="F64" s="68"/>
      <x:c r="G64" s="68"/>
      <x:c r="H64" s="68"/>
      <x:c r="I64" s="68"/>
      <x:c r="J64" s="68"/>
      <x:c r="K64" s="68"/>
      <x:c r="L64" s="68"/>
      <x:c r="M64" s="68"/>
      <x:c r="N64" s="68"/>
      <x:c r="O64" s="68"/>
      <x:c r="P64" s="68"/>
      <x:c r="Q64" s="68"/>
      <x:c r="R64" s="68"/>
    </x:row>
    <x:row r="65" ht="15" hidden="0" customHeight="1">
      <x:c r="A65" s="68"/>
      <x:c r="B65" s="68"/>
      <x:c r="C65" s="68"/>
      <x:c r="D65" s="68"/>
      <x:c r="E65" s="68"/>
      <x:c r="F65" s="68"/>
      <x:c r="G65" s="68"/>
      <x:c r="H65" s="68"/>
      <x:c r="I65" s="68"/>
      <x:c r="J65" s="68"/>
      <x:c r="K65" s="68"/>
      <x:c r="L65" s="68"/>
      <x:c r="M65" s="68"/>
      <x:c r="N65" s="68"/>
      <x:c r="O65" s="68"/>
      <x:c r="P65" s="68"/>
      <x:c r="Q65" s="68"/>
      <x:c r="R65" s="68"/>
    </x:row>
    <x:row r="66" ht="15" hidden="0" customHeight="1">
      <x:c r="A66" s="68"/>
      <x:c r="B66" s="68"/>
      <x:c r="C66" s="68"/>
      <x:c r="D66" s="68"/>
      <x:c r="E66" s="68"/>
      <x:c r="F66" s="68"/>
      <x:c r="G66" s="68"/>
      <x:c r="H66" s="68"/>
      <x:c r="I66" s="68"/>
      <x:c r="J66" s="68"/>
      <x:c r="K66" s="68"/>
      <x:c r="L66" s="68"/>
      <x:c r="M66" s="68"/>
      <x:c r="N66" s="68"/>
      <x:c r="O66" s="68"/>
      <x:c r="P66" s="68"/>
      <x:c r="Q66" s="68"/>
      <x:c r="R66" s="68"/>
    </x:row>
    <x:row r="67" ht="15" hidden="0" customHeight="1">
      <x:c r="A67" s="68"/>
      <x:c r="B67" s="68"/>
      <x:c r="C67" s="68"/>
      <x:c r="D67" s="68"/>
      <x:c r="E67" s="68"/>
      <x:c r="F67" s="68"/>
      <x:c r="G67" s="68"/>
      <x:c r="H67" s="68"/>
      <x:c r="I67" s="68"/>
      <x:c r="J67" s="68"/>
      <x:c r="K67" s="68"/>
      <x:c r="L67" s="68"/>
      <x:c r="M67" s="68"/>
      <x:c r="N67" s="68"/>
      <x:c r="O67" s="68"/>
      <x:c r="P67" s="68"/>
      <x:c r="Q67" s="68"/>
      <x:c r="R67" s="68"/>
    </x:row>
    <x:row r="68" ht="15" hidden="0" customHeight="1">
      <x:c r="A68" s="68"/>
      <x:c r="B68" s="68"/>
      <x:c r="C68" s="68"/>
      <x:c r="D68" s="68"/>
      <x:c r="E68" s="68"/>
      <x:c r="F68" s="68"/>
      <x:c r="G68" s="68"/>
      <x:c r="H68" s="68"/>
      <x:c r="I68" s="68"/>
      <x:c r="J68" s="68"/>
      <x:c r="K68" s="68"/>
      <x:c r="L68" s="68"/>
      <x:c r="M68" s="68"/>
      <x:c r="N68" s="68"/>
      <x:c r="O68" s="68"/>
      <x:c r="P68" s="68"/>
      <x:c r="Q68" s="68"/>
      <x:c r="R68" s="68"/>
    </x:row>
    <x:row r="69" ht="15" hidden="0" customHeight="1">
      <x:c r="A69" s="68"/>
      <x:c r="B69" s="68"/>
      <x:c r="C69" s="68"/>
      <x:c r="D69" s="68"/>
      <x:c r="E69" s="68"/>
      <x:c r="F69" s="68"/>
      <x:c r="G69" s="68"/>
      <x:c r="H69" s="68"/>
      <x:c r="I69" s="68"/>
      <x:c r="J69" s="68"/>
      <x:c r="K69" s="68"/>
      <x:c r="L69" s="68"/>
      <x:c r="M69" s="68"/>
      <x:c r="N69" s="68"/>
      <x:c r="O69" s="68"/>
      <x:c r="P69" s="68"/>
      <x:c r="Q69" s="68"/>
      <x:c r="R69" s="68"/>
    </x:row>
    <x:row r="70" ht="15" hidden="0" customHeight="1">
      <x:c r="A70" s="68"/>
      <x:c r="B70" s="68"/>
      <x:c r="C70" s="68"/>
      <x:c r="D70" s="68"/>
      <x:c r="E70" s="68"/>
      <x:c r="F70" s="68"/>
      <x:c r="G70" s="68"/>
      <x:c r="H70" s="68"/>
      <x:c r="I70" s="68"/>
      <x:c r="J70" s="68"/>
      <x:c r="K70" s="68"/>
      <x:c r="L70" s="68"/>
      <x:c r="M70" s="68"/>
      <x:c r="N70" s="68"/>
      <x:c r="O70" s="68"/>
      <x:c r="P70" s="68"/>
      <x:c r="Q70" s="68"/>
      <x:c r="R70" s="68"/>
    </x:row>
    <x:row r="71" ht="15" hidden="0" customHeight="1">
      <x:c r="A71" s="68"/>
      <x:c r="B71" s="68"/>
      <x:c r="C71" s="68"/>
      <x:c r="D71" s="68"/>
      <x:c r="E71" s="68"/>
      <x:c r="F71" s="68"/>
      <x:c r="G71" s="68"/>
      <x:c r="H71" s="68"/>
      <x:c r="I71" s="68"/>
      <x:c r="J71" s="68"/>
      <x:c r="K71" s="68"/>
      <x:c r="L71" s="68"/>
      <x:c r="M71" s="68"/>
      <x:c r="N71" s="68"/>
      <x:c r="O71" s="68"/>
      <x:c r="P71" s="68"/>
      <x:c r="Q71" s="68"/>
      <x:c r="R71" s="68"/>
    </x:row>
    <x:row r="72" ht="15" hidden="0" customHeight="1">
      <x:c r="A72" s="68"/>
      <x:c r="B72" s="68"/>
      <x:c r="C72" s="68"/>
      <x:c r="D72" s="68"/>
      <x:c r="E72" s="68"/>
      <x:c r="F72" s="68"/>
      <x:c r="G72" s="68"/>
      <x:c r="H72" s="68"/>
      <x:c r="I72" s="68"/>
      <x:c r="J72" s="68"/>
      <x:c r="K72" s="68"/>
      <x:c r="L72" s="68"/>
      <x:c r="M72" s="68"/>
      <x:c r="N72" s="68"/>
      <x:c r="O72" s="68"/>
      <x:c r="P72" s="68"/>
      <x:c r="Q72" s="68"/>
      <x:c r="R72" s="68"/>
    </x:row>
    <x:row r="73" ht="15" hidden="0" customHeight="1">
      <x:c r="A73" s="68"/>
      <x:c r="B73" s="68"/>
      <x:c r="C73" s="68"/>
      <x:c r="D73" s="68"/>
      <x:c r="E73" s="68"/>
      <x:c r="F73" s="68"/>
      <x:c r="G73" s="68"/>
      <x:c r="H73" s="68"/>
      <x:c r="I73" s="68"/>
      <x:c r="J73" s="68"/>
      <x:c r="K73" s="68"/>
      <x:c r="L73" s="68"/>
      <x:c r="M73" s="68"/>
      <x:c r="N73" s="68"/>
      <x:c r="O73" s="68"/>
      <x:c r="P73" s="68"/>
      <x:c r="Q73" s="68"/>
      <x:c r="R73" s="68"/>
    </x:row>
    <x:row r="74" ht="15" hidden="0" customHeight="1">
      <x:c r="A74" s="68"/>
      <x:c r="B74" s="68"/>
      <x:c r="C74" s="68"/>
      <x:c r="D74" s="68"/>
      <x:c r="E74" s="68"/>
      <x:c r="F74" s="68"/>
      <x:c r="G74" s="68"/>
      <x:c r="H74" s="68"/>
      <x:c r="I74" s="68"/>
      <x:c r="J74" s="68"/>
      <x:c r="K74" s="68"/>
      <x:c r="L74" s="68"/>
      <x:c r="M74" s="68"/>
      <x:c r="N74" s="68"/>
      <x:c r="O74" s="68"/>
      <x:c r="P74" s="68"/>
      <x:c r="Q74" s="68"/>
      <x:c r="R74" s="68"/>
    </x:row>
    <x:row r="75" ht="15" hidden="0" customHeight="1">
      <x:c r="A75" s="68"/>
      <x:c r="B75" s="68"/>
      <x:c r="C75" s="68"/>
      <x:c r="D75" s="68"/>
      <x:c r="E75" s="68"/>
      <x:c r="F75" s="68"/>
      <x:c r="G75" s="68"/>
      <x:c r="H75" s="68"/>
      <x:c r="I75" s="68"/>
      <x:c r="J75" s="68"/>
      <x:c r="K75" s="68"/>
      <x:c r="L75" s="68"/>
      <x:c r="M75" s="68"/>
      <x:c r="N75" s="68"/>
      <x:c r="O75" s="68"/>
      <x:c r="P75" s="68"/>
      <x:c r="Q75" s="68"/>
      <x:c r="R75" s="68"/>
    </x:row>
    <x:row r="76" ht="15" hidden="0" customHeight="1">
      <x:c r="A76" s="68"/>
      <x:c r="B76" s="68"/>
      <x:c r="C76" s="68"/>
      <x:c r="D76" s="68"/>
      <x:c r="E76" s="68"/>
      <x:c r="F76" s="68"/>
      <x:c r="G76" s="68"/>
      <x:c r="H76" s="68"/>
      <x:c r="I76" s="68"/>
      <x:c r="J76" s="68"/>
      <x:c r="K76" s="68"/>
      <x:c r="L76" s="68"/>
      <x:c r="M76" s="68"/>
      <x:c r="N76" s="68"/>
      <x:c r="O76" s="68"/>
      <x:c r="P76" s="68"/>
      <x:c r="Q76" s="68"/>
      <x:c r="R76" s="68"/>
    </x:row>
    <x:row r="77" ht="15" hidden="0" customHeight="1">
      <x:c r="A77" s="68"/>
      <x:c r="B77" s="68"/>
      <x:c r="C77" s="68"/>
      <x:c r="D77" s="68"/>
      <x:c r="E77" s="68"/>
      <x:c r="F77" s="68"/>
      <x:c r="G77" s="68"/>
      <x:c r="H77" s="68"/>
      <x:c r="I77" s="68"/>
      <x:c r="J77" s="68"/>
      <x:c r="K77" s="68"/>
      <x:c r="L77" s="68"/>
      <x:c r="M77" s="68"/>
      <x:c r="N77" s="68"/>
      <x:c r="O77" s="68"/>
      <x:c r="P77" s="68"/>
      <x:c r="Q77" s="68"/>
      <x:c r="R77" s="68"/>
    </x:row>
    <x:row r="78" ht="15" hidden="0" customHeight="1">
      <x:c r="A78" s="68"/>
      <x:c r="B78" s="68"/>
      <x:c r="C78" s="68"/>
      <x:c r="D78" s="68"/>
      <x:c r="E78" s="68"/>
      <x:c r="F78" s="68"/>
      <x:c r="G78" s="68"/>
      <x:c r="H78" s="68"/>
      <x:c r="I78" s="68"/>
      <x:c r="J78" s="68"/>
      <x:c r="K78" s="68"/>
      <x:c r="L78" s="68"/>
      <x:c r="M78" s="68"/>
      <x:c r="N78" s="68"/>
      <x:c r="O78" s="68"/>
      <x:c r="P78" s="68"/>
      <x:c r="Q78" s="68"/>
      <x:c r="R78" s="68"/>
    </x:row>
    <x:row r="79" ht="15" hidden="0" customHeight="1">
      <x:c r="A79" s="68"/>
      <x:c r="B79" s="68"/>
      <x:c r="C79" s="68"/>
      <x:c r="D79" s="68"/>
      <x:c r="E79" s="68"/>
      <x:c r="F79" s="68"/>
      <x:c r="G79" s="68"/>
      <x:c r="H79" s="68"/>
      <x:c r="I79" s="68"/>
      <x:c r="J79" s="68"/>
      <x:c r="K79" s="68"/>
      <x:c r="L79" s="68"/>
      <x:c r="M79" s="68"/>
      <x:c r="N79" s="68"/>
      <x:c r="O79" s="68"/>
      <x:c r="P79" s="68"/>
      <x:c r="Q79" s="68"/>
      <x:c r="R79" s="68"/>
    </x:row>
    <x:row r="80" ht="15" hidden="0" customHeight="1">
      <x:c r="A80" s="68"/>
      <x:c r="B80" s="68"/>
      <x:c r="C80" s="68"/>
      <x:c r="D80" s="68"/>
      <x:c r="E80" s="68"/>
      <x:c r="F80" s="68"/>
      <x:c r="G80" s="68"/>
      <x:c r="H80" s="68"/>
      <x:c r="I80" s="68"/>
      <x:c r="J80" s="68"/>
      <x:c r="K80" s="68"/>
      <x:c r="L80" s="68"/>
      <x:c r="M80" s="68"/>
      <x:c r="N80" s="68"/>
      <x:c r="O80" s="68"/>
      <x:c r="P80" s="68"/>
      <x:c r="Q80" s="68"/>
      <x:c r="R80" s="68"/>
    </x:row>
    <x:row r="81" ht="15" hidden="0" customHeight="1">
      <x:c r="A81" s="68"/>
      <x:c r="B81" s="68"/>
      <x:c r="C81" s="68"/>
      <x:c r="D81" s="68"/>
      <x:c r="E81" s="68"/>
      <x:c r="F81" s="68"/>
      <x:c r="G81" s="68"/>
      <x:c r="H81" s="68"/>
      <x:c r="I81" s="68"/>
      <x:c r="J81" s="68"/>
      <x:c r="K81" s="68"/>
      <x:c r="L81" s="68"/>
      <x:c r="M81" s="68"/>
      <x:c r="N81" s="68"/>
      <x:c r="O81" s="68"/>
      <x:c r="P81" s="68"/>
      <x:c r="Q81" s="68"/>
      <x:c r="R81" s="68"/>
    </x:row>
    <x:row r="82" ht="15" hidden="0" customHeight="1">
      <x:c r="A82" s="68"/>
      <x:c r="B82" s="68"/>
      <x:c r="C82" s="68"/>
      <x:c r="D82" s="68"/>
      <x:c r="E82" s="68"/>
      <x:c r="F82" s="68"/>
      <x:c r="G82" s="68"/>
      <x:c r="H82" s="68"/>
      <x:c r="I82" s="68"/>
      <x:c r="J82" s="68"/>
      <x:c r="K82" s="68"/>
      <x:c r="L82" s="68"/>
      <x:c r="M82" s="68"/>
      <x:c r="N82" s="68"/>
      <x:c r="O82" s="68"/>
      <x:c r="P82" s="68"/>
      <x:c r="Q82" s="68"/>
      <x:c r="R82" s="68"/>
    </x:row>
    <x:row r="83" ht="15" hidden="0" customHeight="1">
      <x:c r="A83" s="68"/>
      <x:c r="B83" s="68"/>
      <x:c r="C83" s="68"/>
      <x:c r="D83" s="68"/>
      <x:c r="E83" s="68"/>
      <x:c r="F83" s="68"/>
      <x:c r="G83" s="68"/>
      <x:c r="H83" s="68"/>
      <x:c r="I83" s="68"/>
      <x:c r="J83" s="68"/>
      <x:c r="K83" s="68"/>
      <x:c r="L83" s="68"/>
      <x:c r="M83" s="68"/>
      <x:c r="N83" s="68"/>
      <x:c r="O83" s="68"/>
      <x:c r="P83" s="68"/>
      <x:c r="Q83" s="68"/>
      <x:c r="R83" s="68"/>
    </x:row>
    <x:row r="84" ht="15" hidden="0" customHeight="1">
      <x:c r="A84" s="68"/>
      <x:c r="B84" s="68"/>
      <x:c r="C84" s="68"/>
      <x:c r="D84" s="68"/>
      <x:c r="E84" s="68"/>
      <x:c r="F84" s="68"/>
      <x:c r="G84" s="68"/>
      <x:c r="H84" s="68"/>
      <x:c r="I84" s="68"/>
      <x:c r="J84" s="68"/>
      <x:c r="K84" s="68"/>
      <x:c r="L84" s="68"/>
      <x:c r="M84" s="68"/>
      <x:c r="N84" s="68"/>
      <x:c r="O84" s="68"/>
      <x:c r="P84" s="68"/>
      <x:c r="Q84" s="68"/>
      <x:c r="R84" s="68"/>
    </x:row>
    <x:row r="85" ht="15" hidden="0" customHeight="1">
      <x:c r="A85" s="68"/>
      <x:c r="B85" s="68"/>
      <x:c r="C85" s="68"/>
      <x:c r="D85" s="68"/>
      <x:c r="E85" s="68"/>
      <x:c r="F85" s="68"/>
      <x:c r="G85" s="68"/>
      <x:c r="H85" s="68"/>
      <x:c r="I85" s="68"/>
      <x:c r="J85" s="68"/>
      <x:c r="K85" s="68"/>
      <x:c r="L85" s="68"/>
      <x:c r="M85" s="68"/>
      <x:c r="N85" s="68"/>
      <x:c r="O85" s="68"/>
      <x:c r="P85" s="68"/>
      <x:c r="Q85" s="68"/>
      <x:c r="R85" s="68"/>
    </x:row>
    <x:row r="86" ht="15" hidden="0" customHeight="1">
      <x:c r="A86" s="68"/>
      <x:c r="B86" s="68"/>
      <x:c r="C86" s="68"/>
      <x:c r="D86" s="68"/>
      <x:c r="E86" s="68"/>
      <x:c r="F86" s="68"/>
      <x:c r="G86" s="68"/>
      <x:c r="H86" s="68"/>
      <x:c r="I86" s="68"/>
      <x:c r="J86" s="68"/>
      <x:c r="K86" s="68"/>
      <x:c r="L86" s="68"/>
      <x:c r="M86" s="68"/>
      <x:c r="N86" s="68"/>
      <x:c r="O86" s="68"/>
      <x:c r="P86" s="68"/>
      <x:c r="Q86" s="68"/>
      <x:c r="R86" s="68"/>
    </x:row>
    <x:row r="87" ht="15" hidden="0" customHeight="1">
      <x:c r="A87" s="68"/>
      <x:c r="B87" s="68"/>
      <x:c r="C87" s="68"/>
      <x:c r="D87" s="68"/>
      <x:c r="E87" s="68"/>
      <x:c r="F87" s="68"/>
      <x:c r="G87" s="68"/>
      <x:c r="H87" s="68"/>
      <x:c r="I87" s="68"/>
      <x:c r="J87" s="68"/>
      <x:c r="K87" s="68"/>
      <x:c r="L87" s="68"/>
      <x:c r="M87" s="68"/>
      <x:c r="N87" s="68"/>
      <x:c r="O87" s="68"/>
      <x:c r="P87" s="68"/>
      <x:c r="Q87" s="68"/>
      <x:c r="R87" s="68"/>
    </x:row>
    <x:row r="88" ht="15" hidden="0" customHeight="1">
      <x:c r="A88" s="68"/>
      <x:c r="B88" s="68"/>
      <x:c r="C88" s="68"/>
      <x:c r="D88" s="68"/>
      <x:c r="E88" s="68"/>
      <x:c r="F88" s="68"/>
      <x:c r="G88" s="68"/>
      <x:c r="H88" s="68"/>
      <x:c r="I88" s="68"/>
      <x:c r="J88" s="68"/>
      <x:c r="K88" s="68"/>
      <x:c r="L88" s="68"/>
      <x:c r="M88" s="68"/>
      <x:c r="N88" s="68"/>
      <x:c r="O88" s="68"/>
      <x:c r="P88" s="68"/>
      <x:c r="Q88" s="68"/>
      <x:c r="R88" s="68"/>
    </x:row>
    <x:row r="89" ht="15" hidden="0" customHeight="1">
      <x:c r="A89" s="68"/>
      <x:c r="B89" s="68"/>
      <x:c r="C89" s="68"/>
      <x:c r="D89" s="68"/>
      <x:c r="E89" s="68"/>
      <x:c r="F89" s="68"/>
      <x:c r="G89" s="68"/>
      <x:c r="H89" s="68"/>
      <x:c r="I89" s="68"/>
      <x:c r="J89" s="68"/>
      <x:c r="K89" s="68"/>
      <x:c r="L89" s="68"/>
      <x:c r="M89" s="68"/>
      <x:c r="N89" s="68"/>
      <x:c r="O89" s="68"/>
      <x:c r="P89" s="68"/>
      <x:c r="Q89" s="68"/>
      <x:c r="R89" s="68"/>
    </x:row>
    <x:row r="90" ht="15" hidden="0" customHeight="1">
      <x:c r="A90" s="68"/>
      <x:c r="B90" s="68"/>
      <x:c r="C90" s="68"/>
      <x:c r="D90" s="68"/>
      <x:c r="E90" s="68"/>
      <x:c r="F90" s="68"/>
      <x:c r="G90" s="68"/>
      <x:c r="H90" s="68"/>
      <x:c r="I90" s="68"/>
      <x:c r="J90" s="68"/>
      <x:c r="K90" s="68"/>
      <x:c r="L90" s="68"/>
      <x:c r="M90" s="68"/>
      <x:c r="N90" s="68"/>
      <x:c r="O90" s="68"/>
      <x:c r="P90" s="68"/>
      <x:c r="Q90" s="68"/>
      <x:c r="R90" s="68"/>
    </x:row>
    <x:row r="91" ht="15" hidden="0" customHeight="1">
      <x:c r="A91" s="68"/>
      <x:c r="B91" s="68"/>
      <x:c r="C91" s="68"/>
      <x:c r="D91" s="68"/>
      <x:c r="E91" s="68"/>
      <x:c r="F91" s="68"/>
      <x:c r="G91" s="68"/>
      <x:c r="H91" s="68"/>
      <x:c r="I91" s="68"/>
      <x:c r="J91" s="68"/>
      <x:c r="K91" s="68"/>
      <x:c r="L91" s="68"/>
      <x:c r="M91" s="68"/>
      <x:c r="N91" s="68"/>
      <x:c r="O91" s="68"/>
      <x:c r="P91" s="68"/>
      <x:c r="Q91" s="68"/>
      <x:c r="R91" s="68"/>
    </x:row>
    <x:row r="92" ht="15" hidden="0" customHeight="1">
      <x:c r="A92" s="68"/>
      <x:c r="B92" s="68"/>
      <x:c r="C92" s="68"/>
      <x:c r="D92" s="68"/>
      <x:c r="E92" s="68"/>
      <x:c r="F92" s="68"/>
      <x:c r="G92" s="68"/>
      <x:c r="H92" s="68"/>
      <x:c r="I92" s="68"/>
      <x:c r="J92" s="68"/>
      <x:c r="K92" s="68"/>
      <x:c r="L92" s="68"/>
      <x:c r="M92" s="68"/>
      <x:c r="N92" s="68"/>
      <x:c r="O92" s="68"/>
      <x:c r="P92" s="68"/>
      <x:c r="Q92" s="68"/>
      <x:c r="R92" s="68"/>
    </x:row>
    <x:row r="93" ht="15" hidden="0" customHeight="1">
      <x:c r="A93" s="68"/>
      <x:c r="B93" s="68"/>
      <x:c r="C93" s="68"/>
      <x:c r="D93" s="68"/>
      <x:c r="E93" s="68"/>
      <x:c r="F93" s="68"/>
      <x:c r="G93" s="68"/>
      <x:c r="H93" s="68"/>
      <x:c r="I93" s="68"/>
      <x:c r="J93" s="68"/>
      <x:c r="K93" s="68"/>
      <x:c r="L93" s="68"/>
      <x:c r="M93" s="68"/>
      <x:c r="N93" s="68"/>
      <x:c r="O93" s="68"/>
      <x:c r="P93" s="68"/>
      <x:c r="Q93" s="68"/>
      <x:c r="R93" s="68"/>
    </x:row>
    <x:row r="94" ht="15" hidden="0" customHeight="1">
      <x:c r="A94" s="68"/>
      <x:c r="B94" s="68"/>
      <x:c r="C94" s="68"/>
      <x:c r="D94" s="68"/>
      <x:c r="E94" s="68"/>
      <x:c r="F94" s="68"/>
      <x:c r="G94" s="68"/>
      <x:c r="H94" s="68"/>
      <x:c r="I94" s="68"/>
      <x:c r="J94" s="68"/>
      <x:c r="K94" s="68"/>
      <x:c r="L94" s="68"/>
      <x:c r="M94" s="68"/>
      <x:c r="N94" s="68"/>
      <x:c r="O94" s="68"/>
      <x:c r="P94" s="68"/>
      <x:c r="Q94" s="68"/>
      <x:c r="R94" s="68"/>
    </x:row>
    <x:row r="95" ht="15" hidden="0" customHeight="1">
      <x:c r="A95" s="68"/>
      <x:c r="B95" s="68"/>
      <x:c r="C95" s="68"/>
      <x:c r="D95" s="68"/>
      <x:c r="E95" s="68"/>
      <x:c r="F95" s="68"/>
      <x:c r="G95" s="68"/>
      <x:c r="H95" s="68"/>
      <x:c r="I95" s="68"/>
      <x:c r="J95" s="68"/>
      <x:c r="K95" s="68"/>
      <x:c r="L95" s="68"/>
      <x:c r="M95" s="68"/>
      <x:c r="N95" s="68"/>
      <x:c r="O95" s="68"/>
      <x:c r="P95" s="68"/>
      <x:c r="Q95" s="68"/>
      <x:c r="R95" s="68"/>
    </x:row>
    <x:row r="96" ht="15" hidden="0" customHeight="1">
      <x:c r="A96" s="68"/>
      <x:c r="B96" s="68"/>
      <x:c r="C96" s="68"/>
      <x:c r="D96" s="68"/>
      <x:c r="E96" s="68"/>
      <x:c r="F96" s="68"/>
      <x:c r="G96" s="68"/>
      <x:c r="H96" s="68"/>
      <x:c r="I96" s="68"/>
      <x:c r="J96" s="68"/>
      <x:c r="K96" s="68"/>
      <x:c r="L96" s="68"/>
      <x:c r="M96" s="68"/>
      <x:c r="N96" s="68"/>
      <x:c r="O96" s="68"/>
      <x:c r="P96" s="68"/>
      <x:c r="Q96" s="68"/>
      <x:c r="R96" s="68"/>
    </x:row>
    <x:row r="97" ht="15" hidden="0" customHeight="1">
      <x:c r="A97" s="68"/>
      <x:c r="B97" s="68"/>
      <x:c r="C97" s="68"/>
      <x:c r="D97" s="68"/>
      <x:c r="E97" s="68"/>
      <x:c r="F97" s="68"/>
      <x:c r="G97" s="68"/>
      <x:c r="H97" s="68"/>
      <x:c r="I97" s="68"/>
      <x:c r="J97" s="68"/>
      <x:c r="K97" s="68"/>
      <x:c r="L97" s="68"/>
      <x:c r="M97" s="68"/>
      <x:c r="N97" s="68"/>
      <x:c r="O97" s="68"/>
      <x:c r="P97" s="68"/>
      <x:c r="Q97" s="68"/>
      <x:c r="R97" s="68"/>
    </x:row>
    <x:row r="98" ht="15" hidden="0" customHeight="1">
      <x:c r="A98" s="68"/>
      <x:c r="B98" s="68"/>
      <x:c r="C98" s="68"/>
      <x:c r="D98" s="68"/>
      <x:c r="E98" s="68"/>
      <x:c r="F98" s="68"/>
      <x:c r="G98" s="68"/>
      <x:c r="H98" s="68"/>
      <x:c r="I98" s="68"/>
      <x:c r="J98" s="68"/>
      <x:c r="K98" s="68"/>
      <x:c r="L98" s="68"/>
      <x:c r="M98" s="68"/>
      <x:c r="N98" s="68"/>
      <x:c r="O98" s="68"/>
      <x:c r="P98" s="68"/>
      <x:c r="Q98" s="68"/>
      <x:c r="R98" s="68"/>
    </x:row>
    <x:row r="99" ht="15" hidden="0" customHeight="1">
      <x:c r="A99" s="68"/>
      <x:c r="B99" s="68"/>
      <x:c r="C99" s="68"/>
      <x:c r="D99" s="68"/>
      <x:c r="E99" s="68"/>
      <x:c r="F99" s="68"/>
      <x:c r="G99" s="68"/>
      <x:c r="H99" s="68"/>
      <x:c r="I99" s="68"/>
      <x:c r="J99" s="68"/>
      <x:c r="K99" s="68"/>
      <x:c r="L99" s="68"/>
      <x:c r="M99" s="68"/>
      <x:c r="N99" s="68"/>
      <x:c r="O99" s="68"/>
      <x:c r="P99" s="68"/>
      <x:c r="Q99" s="68"/>
      <x:c r="R99" s="68"/>
    </x:row>
    <x:row r="100" ht="15" hidden="0" customHeight="1">
      <x:c r="A100" s="68"/>
      <x:c r="B100" s="68"/>
      <x:c r="C100" s="68"/>
      <x:c r="D100" s="68"/>
      <x:c r="E100" s="68"/>
      <x:c r="F100" s="68"/>
      <x:c r="G100" s="68"/>
      <x:c r="H100" s="68"/>
      <x:c r="I100" s="68"/>
      <x:c r="J100" s="68"/>
      <x:c r="K100" s="68"/>
      <x:c r="L100" s="68"/>
      <x:c r="M100" s="68"/>
      <x:c r="N100" s="68"/>
      <x:c r="O100" s="68"/>
      <x:c r="P100" s="68"/>
      <x:c r="Q100" s="68"/>
      <x:c r="R100" s="68"/>
    </x:row>
    <x:row r="101" ht="15" hidden="0" customHeight="1">
      <x:c r="A101" s="68"/>
      <x:c r="B101" s="68"/>
      <x:c r="C101" s="68"/>
      <x:c r="D101" s="68"/>
      <x:c r="E101" s="68"/>
      <x:c r="F101" s="68"/>
      <x:c r="G101" s="68"/>
      <x:c r="H101" s="68"/>
      <x:c r="I101" s="68"/>
      <x:c r="J101" s="68"/>
      <x:c r="K101" s="68"/>
      <x:c r="L101" s="68"/>
      <x:c r="M101" s="68"/>
      <x:c r="N101" s="68"/>
      <x:c r="O101" s="68"/>
      <x:c r="P101" s="68"/>
      <x:c r="Q101" s="68"/>
      <x:c r="R101" s="68"/>
    </x:row>
    <x:row r="102" ht="15" hidden="0" customHeight="1">
      <x:c r="A102" s="68"/>
      <x:c r="B102" s="68"/>
      <x:c r="C102" s="68"/>
      <x:c r="D102" s="68"/>
      <x:c r="E102" s="68"/>
      <x:c r="F102" s="68"/>
      <x:c r="G102" s="68"/>
      <x:c r="H102" s="68"/>
      <x:c r="I102" s="68"/>
      <x:c r="J102" s="68"/>
      <x:c r="K102" s="68"/>
      <x:c r="L102" s="68"/>
      <x:c r="M102" s="68"/>
      <x:c r="N102" s="68"/>
      <x:c r="O102" s="68"/>
      <x:c r="P102" s="68"/>
      <x:c r="Q102" s="68"/>
      <x:c r="R102" s="68"/>
    </x:row>
    <x:row r="103" ht="15" hidden="0" customHeight="1">
      <x:c r="A103" s="68"/>
      <x:c r="B103" s="68"/>
      <x:c r="C103" s="68"/>
      <x:c r="D103" s="68"/>
      <x:c r="E103" s="68"/>
      <x:c r="F103" s="68"/>
      <x:c r="G103" s="68"/>
      <x:c r="H103" s="68"/>
      <x:c r="I103" s="68"/>
      <x:c r="J103" s="68"/>
      <x:c r="K103" s="68"/>
      <x:c r="L103" s="68"/>
      <x:c r="M103" s="68"/>
      <x:c r="N103" s="68"/>
      <x:c r="O103" s="68"/>
      <x:c r="P103" s="68"/>
      <x:c r="Q103" s="68"/>
      <x:c r="R103" s="68"/>
    </x:row>
    <x:row r="104" ht="15" hidden="0" customHeight="1">
      <x:c r="A104" s="68"/>
      <x:c r="B104" s="68"/>
      <x:c r="C104" s="68"/>
      <x:c r="D104" s="68"/>
      <x:c r="E104" s="68"/>
      <x:c r="F104" s="68"/>
      <x:c r="G104" s="68"/>
      <x:c r="H104" s="68"/>
      <x:c r="I104" s="68"/>
      <x:c r="J104" s="68"/>
      <x:c r="K104" s="68"/>
      <x:c r="L104" s="68"/>
      <x:c r="M104" s="68"/>
      <x:c r="N104" s="68"/>
      <x:c r="O104" s="68"/>
      <x:c r="P104" s="68"/>
      <x:c r="Q104" s="68"/>
      <x:c r="R104" s="68"/>
    </x:row>
    <x:row r="105" ht="15" hidden="0" customHeight="1">
      <x:c r="A105" s="68"/>
      <x:c r="B105" s="68"/>
      <x:c r="C105" s="68"/>
      <x:c r="D105" s="68"/>
      <x:c r="E105" s="68"/>
      <x:c r="F105" s="68"/>
      <x:c r="G105" s="68"/>
      <x:c r="H105" s="68"/>
      <x:c r="I105" s="68"/>
      <x:c r="J105" s="68"/>
      <x:c r="K105" s="68"/>
      <x:c r="L105" s="68"/>
      <x:c r="M105" s="68"/>
      <x:c r="N105" s="68"/>
      <x:c r="O105" s="68"/>
      <x:c r="P105" s="68"/>
      <x:c r="Q105" s="68"/>
      <x:c r="R105" s="68"/>
    </x:row>
    <x:row r="106" ht="15" hidden="0" customHeight="1">
      <x:c r="A106" s="68"/>
      <x:c r="B106" s="68"/>
      <x:c r="C106" s="68"/>
      <x:c r="D106" s="68"/>
      <x:c r="E106" s="68"/>
      <x:c r="F106" s="68"/>
      <x:c r="G106" s="68"/>
      <x:c r="H106" s="68"/>
      <x:c r="I106" s="68"/>
      <x:c r="J106" s="68"/>
      <x:c r="K106" s="68"/>
      <x:c r="L106" s="68"/>
      <x:c r="M106" s="68"/>
      <x:c r="N106" s="68"/>
      <x:c r="O106" s="68"/>
      <x:c r="P106" s="68"/>
      <x:c r="Q106" s="68"/>
      <x:c r="R106" s="68"/>
    </x:row>
    <x:row r="107" ht="15" hidden="0" customHeight="1">
      <x:c r="A107" s="68"/>
      <x:c r="B107" s="68"/>
      <x:c r="C107" s="68"/>
      <x:c r="D107" s="68"/>
      <x:c r="E107" s="68"/>
      <x:c r="F107" s="68"/>
      <x:c r="G107" s="68"/>
      <x:c r="H107" s="68"/>
      <x:c r="I107" s="68"/>
      <x:c r="J107" s="68"/>
      <x:c r="K107" s="68"/>
      <x:c r="L107" s="68"/>
      <x:c r="M107" s="68"/>
      <x:c r="N107" s="68"/>
      <x:c r="O107" s="68"/>
      <x:c r="P107" s="68"/>
      <x:c r="Q107" s="68"/>
      <x:c r="R107" s="68"/>
    </x:row>
    <x:row r="108" ht="15" hidden="0" customHeight="1">
      <x:c r="A108" s="68"/>
      <x:c r="B108" s="68"/>
      <x:c r="C108" s="68"/>
      <x:c r="D108" s="68"/>
      <x:c r="E108" s="68"/>
      <x:c r="F108" s="68"/>
      <x:c r="G108" s="68"/>
      <x:c r="H108" s="68"/>
      <x:c r="I108" s="68"/>
      <x:c r="J108" s="68"/>
      <x:c r="K108" s="68"/>
      <x:c r="L108" s="68"/>
      <x:c r="M108" s="68"/>
      <x:c r="N108" s="68"/>
      <x:c r="O108" s="68"/>
      <x:c r="P108" s="68"/>
      <x:c r="Q108" s="68"/>
      <x:c r="R108" s="68"/>
    </x:row>
    <x:row r="109" ht="15" hidden="0" customHeight="1">
      <x:c r="A109" s="68"/>
      <x:c r="B109" s="68"/>
      <x:c r="C109" s="68"/>
      <x:c r="D109" s="68"/>
      <x:c r="E109" s="68"/>
      <x:c r="F109" s="68"/>
      <x:c r="G109" s="68"/>
      <x:c r="H109" s="68"/>
      <x:c r="I109" s="68"/>
      <x:c r="J109" s="68"/>
      <x:c r="K109" s="68"/>
      <x:c r="L109" s="68"/>
      <x:c r="M109" s="68"/>
      <x:c r="N109" s="68"/>
      <x:c r="O109" s="68"/>
      <x:c r="P109" s="68"/>
      <x:c r="Q109" s="68"/>
      <x:c r="R109" s="68"/>
    </x:row>
    <x:row r="110" ht="15" hidden="0" customHeight="1">
      <x:c r="A110" s="68"/>
      <x:c r="B110" s="68"/>
      <x:c r="C110" s="68"/>
      <x:c r="D110" s="68"/>
      <x:c r="E110" s="68"/>
      <x:c r="F110" s="68"/>
      <x:c r="G110" s="68"/>
      <x:c r="H110" s="68"/>
      <x:c r="I110" s="68"/>
      <x:c r="J110" s="68"/>
      <x:c r="K110" s="68"/>
      <x:c r="L110" s="68"/>
      <x:c r="M110" s="68"/>
      <x:c r="N110" s="68"/>
      <x:c r="O110" s="68"/>
      <x:c r="P110" s="68"/>
      <x:c r="Q110" s="68"/>
      <x:c r="R110" s="68"/>
    </x:row>
    <x:row r="111" ht="15" hidden="0" customHeight="1">
      <x:c r="A111" s="68"/>
      <x:c r="B111" s="68"/>
      <x:c r="C111" s="68"/>
      <x:c r="D111" s="68"/>
      <x:c r="E111" s="68"/>
      <x:c r="F111" s="68"/>
      <x:c r="G111" s="68"/>
      <x:c r="H111" s="68"/>
      <x:c r="I111" s="68"/>
      <x:c r="J111" s="68"/>
      <x:c r="K111" s="68"/>
      <x:c r="L111" s="68"/>
      <x:c r="M111" s="68"/>
      <x:c r="N111" s="68"/>
      <x:c r="O111" s="68"/>
      <x:c r="P111" s="68"/>
      <x:c r="Q111" s="68"/>
      <x:c r="R111" s="68"/>
    </x:row>
    <x:row r="112" ht="15" hidden="0" customHeight="1">
      <x:c r="A112" s="68"/>
      <x:c r="B112" s="68"/>
      <x:c r="C112" s="68"/>
      <x:c r="D112" s="68"/>
      <x:c r="E112" s="68"/>
      <x:c r="F112" s="68"/>
      <x:c r="G112" s="68"/>
      <x:c r="H112" s="68"/>
      <x:c r="I112" s="68"/>
      <x:c r="J112" s="68"/>
      <x:c r="K112" s="68"/>
      <x:c r="L112" s="68"/>
      <x:c r="M112" s="68"/>
      <x:c r="N112" s="68"/>
      <x:c r="O112" s="68"/>
      <x:c r="P112" s="68"/>
      <x:c r="Q112" s="68"/>
      <x:c r="R112" s="68"/>
    </x:row>
    <x:row r="113" ht="15" hidden="0" customHeight="1">
      <x:c r="A113" s="68"/>
      <x:c r="B113" s="68"/>
      <x:c r="C113" s="68"/>
      <x:c r="D113" s="68"/>
      <x:c r="E113" s="68"/>
      <x:c r="F113" s="68"/>
      <x:c r="G113" s="68"/>
      <x:c r="H113" s="68"/>
      <x:c r="I113" s="68"/>
      <x:c r="J113" s="68"/>
      <x:c r="K113" s="68"/>
      <x:c r="L113" s="68"/>
      <x:c r="M113" s="68"/>
      <x:c r="N113" s="68"/>
      <x:c r="O113" s="68"/>
      <x:c r="P113" s="68"/>
      <x:c r="Q113" s="68"/>
      <x:c r="R113" s="68"/>
    </x:row>
    <x:row r="114" ht="15" hidden="0" customHeight="1">
      <x:c r="A114" s="68"/>
      <x:c r="B114" s="68"/>
      <x:c r="C114" s="68"/>
      <x:c r="D114" s="68"/>
      <x:c r="E114" s="68"/>
      <x:c r="F114" s="68"/>
      <x:c r="G114" s="68"/>
      <x:c r="H114" s="68"/>
      <x:c r="I114" s="68"/>
      <x:c r="J114" s="68"/>
      <x:c r="K114" s="68"/>
      <x:c r="L114" s="68"/>
      <x:c r="M114" s="68"/>
      <x:c r="N114" s="68"/>
      <x:c r="O114" s="68"/>
      <x:c r="P114" s="68"/>
      <x:c r="Q114" s="68"/>
      <x:c r="R114" s="68"/>
    </x:row>
    <x:row r="115" ht="15" hidden="0" customHeight="1">
      <x:c r="A115" s="68"/>
      <x:c r="B115" s="68"/>
      <x:c r="C115" s="68"/>
      <x:c r="D115" s="68"/>
      <x:c r="E115" s="68"/>
      <x:c r="F115" s="68"/>
      <x:c r="G115" s="68"/>
      <x:c r="H115" s="68"/>
      <x:c r="I115" s="68"/>
      <x:c r="J115" s="68"/>
      <x:c r="K115" s="68"/>
      <x:c r="L115" s="68"/>
      <x:c r="M115" s="68"/>
      <x:c r="N115" s="68"/>
      <x:c r="O115" s="68"/>
      <x:c r="P115" s="68"/>
      <x:c r="Q115" s="68"/>
      <x:c r="R115" s="68"/>
    </x:row>
    <x:row r="116" ht="15" hidden="0" customHeight="1">
      <x:c r="A116" s="68"/>
      <x:c r="B116" s="68"/>
      <x:c r="C116" s="68"/>
      <x:c r="D116" s="68"/>
      <x:c r="E116" s="68"/>
      <x:c r="F116" s="68"/>
      <x:c r="G116" s="68"/>
      <x:c r="H116" s="68"/>
      <x:c r="I116" s="68"/>
      <x:c r="J116" s="68"/>
      <x:c r="K116" s="68"/>
      <x:c r="L116" s="68"/>
      <x:c r="M116" s="68"/>
      <x:c r="N116" s="68"/>
      <x:c r="O116" s="68"/>
      <x:c r="P116" s="68"/>
      <x:c r="Q116" s="68"/>
      <x:c r="R116" s="68"/>
    </x:row>
    <x:row r="117" ht="15" hidden="0" customHeight="1">
      <x:c r="A117" s="68"/>
      <x:c r="B117" s="68"/>
      <x:c r="C117" s="68"/>
      <x:c r="D117" s="68"/>
      <x:c r="E117" s="68"/>
      <x:c r="F117" s="68"/>
      <x:c r="G117" s="68"/>
      <x:c r="H117" s="68"/>
      <x:c r="I117" s="68"/>
      <x:c r="J117" s="68"/>
      <x:c r="K117" s="68"/>
      <x:c r="L117" s="68"/>
      <x:c r="M117" s="68"/>
      <x:c r="N117" s="68"/>
      <x:c r="O117" s="68"/>
      <x:c r="P117" s="68"/>
      <x:c r="Q117" s="68"/>
      <x:c r="R117" s="68"/>
    </x:row>
    <x:row r="118" ht="15" hidden="0" customHeight="1">
      <x:c r="A118" s="68"/>
      <x:c r="B118" s="68"/>
      <x:c r="C118" s="68"/>
      <x:c r="D118" s="68"/>
      <x:c r="E118" s="68"/>
      <x:c r="F118" s="68"/>
      <x:c r="G118" s="68"/>
      <x:c r="H118" s="68"/>
      <x:c r="I118" s="68"/>
      <x:c r="J118" s="68"/>
      <x:c r="K118" s="68"/>
      <x:c r="L118" s="68"/>
      <x:c r="M118" s="68"/>
      <x:c r="N118" s="68"/>
      <x:c r="O118" s="68"/>
      <x:c r="P118" s="68"/>
      <x:c r="Q118" s="68"/>
      <x:c r="R118" s="68"/>
    </x:row>
    <x:row r="119" ht="15" hidden="0" customHeight="1">
      <x:c r="A119" s="68"/>
      <x:c r="B119" s="68"/>
      <x:c r="C119" s="68"/>
      <x:c r="D119" s="68"/>
      <x:c r="E119" s="68"/>
      <x:c r="F119" s="68"/>
      <x:c r="G119" s="68"/>
      <x:c r="H119" s="68"/>
      <x:c r="I119" s="68"/>
      <x:c r="J119" s="68"/>
      <x:c r="K119" s="68"/>
      <x:c r="L119" s="68"/>
      <x:c r="M119" s="68"/>
      <x:c r="N119" s="68"/>
      <x:c r="O119" s="68"/>
      <x:c r="P119" s="68"/>
      <x:c r="Q119" s="68"/>
      <x:c r="R119" s="68"/>
    </x:row>
    <x:row r="120" ht="15" hidden="0" customHeight="1">
      <x:c r="A120" s="68"/>
      <x:c r="B120" s="68"/>
      <x:c r="C120" s="68"/>
      <x:c r="D120" s="68"/>
      <x:c r="E120" s="68"/>
      <x:c r="F120" s="68"/>
      <x:c r="G120" s="68"/>
      <x:c r="H120" s="68"/>
      <x:c r="I120" s="68"/>
      <x:c r="J120" s="68"/>
      <x:c r="K120" s="68"/>
      <x:c r="L120" s="68"/>
      <x:c r="M120" s="68"/>
      <x:c r="N120" s="68"/>
      <x:c r="O120" s="68"/>
      <x:c r="P120" s="68"/>
      <x:c r="Q120" s="68"/>
      <x:c r="R120" s="68"/>
    </x:row>
  </x:sheetData>
  <x:mergeCells>
    <x:mergeCell ref="C2:P2"/>
    <x:mergeCell ref="C3:P3"/>
    <x:mergeCell ref="C6:G6"/>
    <x:mergeCell ref="C19:G19"/>
    <x:mergeCell ref="D29:G29"/>
    <x:mergeCell ref="D30:G30"/>
    <x:mergeCell ref="D31:G31"/>
    <x:mergeCell ref="D32:G32"/>
    <x:mergeCell ref="D33:G33"/>
  </x:mergeCells>
  <x:pageMargins left="0.7" right="0.7" top="0.75" bottom="0.75" header="0.3" footer="0.3"/>
  <x:drawing xmlns:r="http://schemas.openxmlformats.org/officeDocument/2006/relationships" r:id="Rfa50005c9c5641c9"/>
</x:worksheet>
</file>

<file path=xl/worksheets/sheet2.xml><?xml version="1.0" encoding="utf-8"?>
<x:worksheet xmlns:x="http://schemas.openxmlformats.org/spreadsheetml/2006/main">
  <x:sheetPr>
    <x:tabColor rgb="FFE9DDC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32" hidden="0" customWidth="1"/>
    <x:col min="4" max="4" width="16" hidden="0" customWidth="1"/>
    <x:col min="5" max="5" width="14" hidden="0" customWidth="1"/>
    <x:col min="6" max="6" width="48" hidden="0" customWidth="1"/>
    <x:col min="7" max="7" width="14" hidden="0" customWidth="1"/>
    <x:col min="8" max="8" width="14" hidden="0" customWidth="1"/>
  </x:cols>
  <x:sheetData>
    <x:row r="1" ht="15" hidden="0" customHeight="1">
      <x:c r="A1" s="68"/>
      <x:c r="B1" s="68"/>
      <x:c r="C1" s="68"/>
      <x:c r="D1" s="68"/>
      <x:c r="E1" s="68"/>
      <x:c r="F1" s="68"/>
      <x:c r="G1" s="68"/>
      <x:c r="H1" s="68"/>
      <x:c r="I1" s="68"/>
      <x:c r="J1" s="68"/>
      <x:c r="K1" s="68"/>
      <x:c r="L1" s="68"/>
      <x:c r="M1" s="68"/>
      <x:c r="N1" s="68"/>
      <x:c r="O1" s="68"/>
      <x:c r="P1" s="68"/>
      <x:c r="Q1" s="68"/>
      <x:c r="R1" s="68"/>
    </x:row>
    <x:row r="2" ht="24" hidden="0" customHeight="1">
      <x:c r="A2" s="68"/>
      <x:c r="B2" s="68"/>
      <x:c r="C2" s="69" t="str">
        <x:v>Stage 1 Assumptions</x:v>
      </x:c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</x:row>
    <x:row r="3" ht="24" hidden="0" customHeight="1">
      <x:c r="A3" s="68"/>
      <x:c r="B3" s="68"/>
      <x:c r="C3" s="71" t="str">
        <x:v>Editable inputs in blue. Selected scenario drives all forecasts. Currency: nominal Indonesian rupiah.</x:v>
      </x:c>
      <x:c r="D3" s="68"/>
      <x:c r="E3" s="68"/>
      <x:c r="F3" s="68"/>
      <x:c r="G3" s="68"/>
      <x:c r="H3" s="68"/>
      <x:c r="I3" s="68"/>
      <x:c r="J3" s="68"/>
      <x:c r="K3" s="68"/>
      <x:c r="L3" s="68"/>
      <x:c r="M3" s="68"/>
      <x:c r="N3" s="68"/>
      <x:c r="O3" s="68"/>
      <x:c r="P3" s="68"/>
      <x:c r="Q3" s="68"/>
      <x:c r="R3" s="68"/>
    </x:row>
    <x:row r="4" ht="15" hidden="0" customHeight="1">
      <x:c r="A4" s="68"/>
      <x:c r="B4" s="68"/>
      <x:c r="C4" s="68"/>
      <x:c r="D4" s="68"/>
      <x:c r="E4" s="68"/>
      <x:c r="F4" s="68"/>
      <x:c r="G4" s="68"/>
      <x:c r="H4" s="68"/>
      <x:c r="I4" s="68"/>
      <x:c r="J4" s="68"/>
      <x:c r="K4" s="68"/>
      <x:c r="L4" s="68"/>
      <x:c r="M4" s="68"/>
      <x:c r="N4" s="68"/>
      <x:c r="O4" s="68"/>
      <x:c r="P4" s="68"/>
      <x:c r="Q4" s="68"/>
      <x:c r="R4" s="68"/>
    </x:row>
    <x:row r="5" ht="15" hidden="0" customHeight="1">
      <x:c r="A5" s="68"/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</x:row>
    <x:row r="6" ht="15" hidden="0" customHeight="1">
      <x:c r="A6" s="68"/>
      <x:c r="B6" s="68"/>
      <x:c r="C6" s="82" t="str">
        <x:v>Selected Scenario</x:v>
      </x:c>
      <x:c r="D6" s="86" t="str">
        <x:v>Base</x:v>
      </x:c>
      <x:c r="E6" s="68"/>
      <x:c r="F6" s="68"/>
      <x:c r="G6" s="68"/>
      <x:c r="H6" s="68"/>
      <x:c r="I6" s="68"/>
      <x:c r="J6" s="68"/>
      <x:c r="K6" s="68"/>
      <x:c r="L6" s="68"/>
      <x:c r="M6" s="68"/>
      <x:c r="N6" s="68"/>
      <x:c r="O6" s="68"/>
      <x:c r="P6" s="68"/>
      <x:c r="Q6" s="68"/>
      <x:c r="R6" s="68"/>
    </x:row>
    <x:row r="7" ht="15" hidden="0" customHeight="1">
      <x:c r="A7" s="68"/>
      <x:c r="B7" s="68"/>
      <x:c r="C7" s="68"/>
      <x:c r="D7" s="68"/>
      <x:c r="E7" s="68"/>
      <x:c r="F7" s="68"/>
      <x:c r="G7" s="68"/>
      <x:c r="H7" s="68"/>
      <x:c r="I7" s="68"/>
      <x:c r="J7" s="68"/>
      <x:c r="K7" s="68"/>
      <x:c r="L7" s="68"/>
      <x:c r="M7" s="68"/>
      <x:c r="N7" s="68"/>
      <x:c r="O7" s="68"/>
      <x:c r="P7" s="68"/>
      <x:c r="Q7" s="68"/>
      <x:c r="R7" s="68"/>
    </x:row>
    <x:row r="8" ht="15" hidden="0" customHeight="1">
      <x:c r="A8" s="68"/>
      <x:c r="B8" s="68"/>
      <x:c r="C8" s="11" t="str">
        <x:v>Scenario Drivers</x:v>
      </x:c>
      <x:c r="D8" s="12"/>
      <x:c r="E8" s="12"/>
      <x:c r="F8" s="12"/>
      <x:c r="G8" s="12"/>
      <x:c r="H8" s="13"/>
      <x:c r="I8" s="68"/>
      <x:c r="J8" s="68"/>
      <x:c r="K8" s="68"/>
      <x:c r="L8" s="68"/>
      <x:c r="M8" s="68"/>
      <x:c r="N8" s="68"/>
      <x:c r="O8" s="68"/>
      <x:c r="P8" s="68"/>
      <x:c r="Q8" s="68"/>
      <x:c r="R8" s="68"/>
    </x:row>
    <x:row r="9" ht="15" hidden="0" customHeight="1">
      <x:c r="A9" s="68"/>
      <x:c r="B9" s="68"/>
      <x:c r="C9" s="19" t="str">
        <x:v>Driver</x:v>
      </x:c>
      <x:c r="D9" s="19" t="str">
        <x:v>Unit</x:v>
      </x:c>
      <x:c r="E9" s="19" t="str">
        <x:v>Downside</x:v>
      </x:c>
      <x:c r="F9" s="19" t="str">
        <x:v>Base</x:v>
      </x:c>
      <x:c r="G9" s="19" t="str">
        <x:v>Upside</x:v>
      </x:c>
      <x:c r="H9" s="19" t="str">
        <x:v>Selected</x:v>
      </x:c>
      <x:c r="I9" s="68"/>
      <x:c r="J9" s="68"/>
      <x:c r="K9" s="68"/>
      <x:c r="L9" s="68"/>
      <x:c r="M9" s="68"/>
      <x:c r="N9" s="68"/>
      <x:c r="O9" s="68"/>
      <x:c r="P9" s="68"/>
      <x:c r="Q9" s="68"/>
      <x:c r="R9" s="68"/>
    </x:row>
    <x:row r="10" ht="15" hidden="0" customHeight="1">
      <x:c r="A10" s="68"/>
      <x:c r="B10" s="68"/>
      <x:c r="C10" s="68" t="str">
        <x:v>Package operating weeks</x:v>
      </x:c>
      <x:c r="D10" s="68" t="str">
        <x:v>weeks/year</x:v>
      </x:c>
      <x:c r="E10" s="86" t="n">
        <x:v>40</x:v>
      </x:c>
      <x:c r="F10" s="86" t="n">
        <x:v>44</x:v>
      </x:c>
      <x:c r="G10" s="86" t="n">
        <x:v>48</x:v>
      </x:c>
      <x:c r="H10" s="68" t="n">
        <x:f>INDEX($E10:$G10,1,MATCH($D$6,$E$9:$G$9,0))</x:f>
        <x:v>44</x:v>
      </x:c>
      <x:c r="I10" s="68"/>
      <x:c r="J10" s="68"/>
      <x:c r="K10" s="68"/>
      <x:c r="L10" s="68"/>
      <x:c r="M10" s="68"/>
      <x:c r="N10" s="68"/>
      <x:c r="O10" s="68"/>
      <x:c r="P10" s="68"/>
      <x:c r="Q10" s="68"/>
      <x:c r="R10" s="68"/>
    </x:row>
    <x:row r="11" ht="15" hidden="0" customHeight="1">
      <x:c r="A11" s="68"/>
      <x:c r="B11" s="68"/>
      <x:c r="C11" s="68" t="str">
        <x:v>Steady package utilization</x:v>
      </x:c>
      <x:c r="D11" s="68" t="str">
        <x:v>% capacity</x:v>
      </x:c>
      <x:c r="E11" s="87" t="n">
        <x:v>0.65</x:v>
      </x:c>
      <x:c r="F11" s="87" t="n">
        <x:v>0.9</x:v>
      </x:c>
      <x:c r="G11" s="87" t="n">
        <x:v>1</x:v>
      </x:c>
      <x:c r="H11" s="88" t="n">
        <x:f>INDEX($E11:$G11,1,MATCH($D$6,$E$9:$G$9,0))</x:f>
        <x:v>0.9</x:v>
      </x:c>
      <x:c r="I11" s="68"/>
      <x:c r="J11" s="68"/>
      <x:c r="K11" s="68"/>
      <x:c r="L11" s="68"/>
      <x:c r="M11" s="68"/>
      <x:c r="N11" s="68"/>
      <x:c r="O11" s="68"/>
      <x:c r="P11" s="68"/>
      <x:c r="Q11" s="68"/>
      <x:c r="R11" s="68"/>
    </x:row>
    <x:row r="12" ht="15" hidden="0" customHeight="1">
      <x:c r="A12" s="68"/>
      <x:c r="B12" s="68"/>
      <x:c r="C12" s="68" t="str">
        <x:v>Weekend visitor utilization</x:v>
      </x:c>
      <x:c r="D12" s="68" t="str">
        <x:v>% capacity</x:v>
      </x:c>
      <x:c r="E12" s="87" t="n">
        <x:v>0.35</x:v>
      </x:c>
      <x:c r="F12" s="87" t="n">
        <x:v>0.5</x:v>
      </x:c>
      <x:c r="G12" s="87" t="n">
        <x:v>0.65</x:v>
      </x:c>
      <x:c r="H12" s="88" t="n">
        <x:f>INDEX($E12:$G12,1,MATCH($D$6,$E$9:$G$9,0))</x:f>
        <x:v>0.5</x:v>
      </x:c>
      <x:c r="I12" s="68"/>
      <x:c r="J12" s="68"/>
      <x:c r="K12" s="68"/>
      <x:c r="L12" s="68"/>
      <x:c r="M12" s="68"/>
      <x:c r="N12" s="68"/>
      <x:c r="O12" s="68"/>
      <x:c r="P12" s="68"/>
      <x:c r="Q12" s="68"/>
      <x:c r="R12" s="68"/>
    </x:row>
    <x:row r="13" ht="15" hidden="0" customHeight="1">
      <x:c r="A13" s="68"/>
      <x:c r="B13" s="68"/>
      <x:c r="C13" s="68" t="str">
        <x:v>Visitor gross margin</x:v>
      </x:c>
      <x:c r="D13" s="68" t="str">
        <x:v>% revenue</x:v>
      </x:c>
      <x:c r="E13" s="87" t="n">
        <x:v>0.38</x:v>
      </x:c>
      <x:c r="F13" s="87" t="n">
        <x:v>0.45</x:v>
      </x:c>
      <x:c r="G13" s="87" t="n">
        <x:v>0.5</x:v>
      </x:c>
      <x:c r="H13" s="88" t="n">
        <x:f>INDEX($E13:$G13,1,MATCH($D$6,$E$9:$G$9,0))</x:f>
        <x:v>0.45</x:v>
      </x:c>
      <x:c r="I13" s="68"/>
      <x:c r="J13" s="68"/>
      <x:c r="K13" s="68"/>
      <x:c r="L13" s="68"/>
      <x:c r="M13" s="68"/>
      <x:c r="N13" s="68"/>
      <x:c r="O13" s="68"/>
      <x:c r="P13" s="68"/>
      <x:c r="Q13" s="68"/>
      <x:c r="R13" s="68"/>
    </x:row>
    <x:row r="14" ht="15" hidden="0" customHeight="1">
      <x:c r="A14" s="68"/>
      <x:c r="B14" s="68"/>
      <x:c r="C14" s="68" t="str">
        <x:v>Cash CAPEX factor</x:v>
      </x:c>
      <x:c r="D14" s="68" t="str">
        <x:v>x base</x:v>
      </x:c>
      <x:c r="E14" s="87" t="n">
        <x:v>1.15</x:v>
      </x:c>
      <x:c r="F14" s="87" t="n">
        <x:v>1</x:v>
      </x:c>
      <x:c r="G14" s="87" t="n">
        <x:v>0.95</x:v>
      </x:c>
      <x:c r="H14" s="88" t="n">
        <x:f>INDEX($E14:$G14,1,MATCH($D$6,$E$9:$G$9,0))</x:f>
        <x:v>1</x:v>
      </x:c>
      <x:c r="I14" s="68"/>
      <x:c r="J14" s="68"/>
      <x:c r="K14" s="68"/>
      <x:c r="L14" s="68"/>
      <x:c r="M14" s="68"/>
      <x:c r="N14" s="68"/>
      <x:c r="O14" s="68"/>
      <x:c r="P14" s="68"/>
      <x:c r="Q14" s="68"/>
      <x:c r="R14" s="68"/>
    </x:row>
    <x:row r="15" ht="15" hidden="0" customHeight="1">
      <x:c r="A15" s="68"/>
      <x:c r="B15" s="68"/>
      <x:c r="C15" s="68" t="str">
        <x:v>Other product sales factor</x:v>
      </x:c>
      <x:c r="D15" s="68" t="str">
        <x:v>x base</x:v>
      </x:c>
      <x:c r="E15" s="89" t="n">
        <x:v>0.8</x:v>
      </x:c>
      <x:c r="F15" s="89" t="n">
        <x:v>1</x:v>
      </x:c>
      <x:c r="G15" s="89" t="n">
        <x:v>1.15</x:v>
      </x:c>
      <x:c r="H15" s="90" t="n">
        <x:f>INDEX($E15:$G15,1,MATCH($D$6,$E$9:$G$9,0))</x:f>
        <x:v>1</x:v>
      </x:c>
      <x:c r="I15" s="68"/>
      <x:c r="J15" s="68"/>
      <x:c r="K15" s="68"/>
      <x:c r="L15" s="68"/>
      <x:c r="M15" s="68"/>
      <x:c r="N15" s="68"/>
      <x:c r="O15" s="68"/>
      <x:c r="P15" s="68"/>
      <x:c r="Q15" s="68"/>
      <x:c r="R15" s="68"/>
    </x:row>
    <x:row r="16" ht="15" hidden="0" customHeight="1">
      <x:c r="A16" s="68"/>
      <x:c r="B16" s="68"/>
      <x:c r="C16" s="68" t="str">
        <x:v>Exit multiple</x:v>
      </x:c>
      <x:c r="D16" s="68" t="str">
        <x:v>x EBITDA</x:v>
      </x:c>
      <x:c r="E16" s="89" t="n">
        <x:v>2.5</x:v>
      </x:c>
      <x:c r="F16" s="89" t="n">
        <x:v>4</x:v>
      </x:c>
      <x:c r="G16" s="89" t="n">
        <x:v>5</x:v>
      </x:c>
      <x:c r="H16" s="90" t="n">
        <x:f>INDEX($E16:$G16,1,MATCH($D$6,$E$9:$G$9,0))</x:f>
        <x:v>4</x:v>
      </x:c>
      <x:c r="I16" s="68"/>
      <x:c r="J16" s="68"/>
      <x:c r="K16" s="68"/>
      <x:c r="L16" s="68"/>
      <x:c r="M16" s="68"/>
      <x:c r="N16" s="68"/>
      <x:c r="O16" s="68"/>
      <x:c r="P16" s="68"/>
      <x:c r="Q16" s="68"/>
      <x:c r="R16" s="68"/>
    </x:row>
    <x:row r="17" ht="15" hidden="0" customHeight="1">
      <x:c r="A17" s="68"/>
      <x:c r="B17" s="68"/>
      <x:c r="C17" s="68"/>
      <x:c r="D17" s="68"/>
      <x:c r="E17" s="68"/>
      <x:c r="F17" s="68"/>
      <x:c r="G17" s="68"/>
      <x:c r="H17" s="68"/>
      <x:c r="I17" s="68"/>
      <x:c r="J17" s="68"/>
      <x:c r="K17" s="68"/>
      <x:c r="L17" s="68"/>
      <x:c r="M17" s="68"/>
      <x:c r="N17" s="68"/>
      <x:c r="O17" s="68"/>
      <x:c r="P17" s="68"/>
      <x:c r="Q17" s="68"/>
      <x:c r="R17" s="68"/>
    </x:row>
    <x:row r="18" ht="15" hidden="0" customHeight="1">
      <x:c r="A18" s="68"/>
      <x:c r="B18" s="68"/>
      <x:c r="C18" s="68"/>
      <x:c r="D18" s="68"/>
      <x:c r="E18" s="68"/>
      <x:c r="F18" s="68"/>
      <x:c r="G18" s="68"/>
      <x:c r="H18" s="68"/>
      <x:c r="I18" s="68"/>
      <x:c r="J18" s="68"/>
      <x:c r="K18" s="68"/>
      <x:c r="L18" s="68"/>
      <x:c r="M18" s="68"/>
      <x:c r="N18" s="68"/>
      <x:c r="O18" s="68"/>
      <x:c r="P18" s="68"/>
      <x:c r="Q18" s="68"/>
      <x:c r="R18" s="68"/>
    </x:row>
    <x:row r="19" ht="15" hidden="0" customHeight="1">
      <x:c r="A19" s="68"/>
      <x:c r="B19" s="68"/>
      <x:c r="C19" s="11" t="str">
        <x:v>Operating and Financing Inputs</x:v>
      </x:c>
      <x:c r="D19" s="12"/>
      <x:c r="E19" s="12"/>
      <x:c r="F19" s="13"/>
      <x:c r="G19" s="68"/>
      <x:c r="H19" s="68"/>
      <x:c r="I19" s="68"/>
      <x:c r="J19" s="68"/>
      <x:c r="K19" s="68"/>
      <x:c r="L19" s="68"/>
      <x:c r="M19" s="68"/>
      <x:c r="N19" s="68"/>
      <x:c r="O19" s="68"/>
      <x:c r="P19" s="68"/>
      <x:c r="Q19" s="68"/>
      <x:c r="R19" s="68"/>
    </x:row>
    <x:row r="20" ht="15" hidden="0" customHeight="1">
      <x:c r="A20" s="68"/>
      <x:c r="B20" s="68"/>
      <x:c r="C20" s="19" t="str">
        <x:v>Input</x:v>
      </x:c>
      <x:c r="D20" s="19" t="str">
        <x:v>Value</x:v>
      </x:c>
      <x:c r="E20" s="19" t="str">
        <x:v>Unit</x:v>
      </x:c>
      <x:c r="F20" s="19" t="str">
        <x:v>Notes</x:v>
      </x:c>
      <x:c r="G20" s="68"/>
      <x:c r="H20" s="68"/>
      <x:c r="I20" s="68"/>
      <x:c r="J20" s="68"/>
      <x:c r="K20" s="68"/>
      <x:c r="L20" s="68"/>
      <x:c r="M20" s="68"/>
      <x:c r="N20" s="68"/>
      <x:c r="O20" s="68"/>
      <x:c r="P20" s="68"/>
      <x:c r="Q20" s="68"/>
      <x:c r="R20" s="68"/>
    </x:row>
    <x:row r="21" ht="15" hidden="0" customHeight="1">
      <x:c r="A21" s="68"/>
      <x:c r="B21" s="68"/>
      <x:c r="C21" s="68" t="str">
        <x:v>Existing rooms</x:v>
      </x:c>
      <x:c r="D21" s="86" t="n">
        <x:v>300</x:v>
      </x:c>
      <x:c r="E21" s="68" t="str">
        <x:v>rooms</x:v>
      </x:c>
      <x:c r="F21" s="68" t="str">
        <x:v>Current hotel and villa room-equivalent capacity</x:v>
      </x:c>
      <x:c r="G21" s="68"/>
      <x:c r="H21" s="68"/>
      <x:c r="I21" s="68"/>
      <x:c r="J21" s="68"/>
      <x:c r="K21" s="68"/>
      <x:c r="L21" s="68"/>
      <x:c r="M21" s="68"/>
      <x:c r="N21" s="68"/>
      <x:c r="O21" s="68"/>
      <x:c r="P21" s="68"/>
      <x:c r="Q21" s="68"/>
      <x:c r="R21" s="68"/>
    </x:row>
    <x:row r="22" ht="15" hidden="0" customHeight="1">
      <x:c r="A22" s="68"/>
      <x:c r="B22" s="68"/>
      <x:c r="C22" s="68" t="str">
        <x:v>Guests per room</x:v>
      </x:c>
      <x:c r="D22" s="86" t="n">
        <x:v>2</x:v>
      </x:c>
      <x:c r="E22" s="68" t="str">
        <x:v>persons</x:v>
      </x:c>
      <x:c r="F22" s="68" t="str">
        <x:v>Double occupancy</x:v>
      </x:c>
      <x:c r="G22" s="68"/>
      <x:c r="H22" s="68"/>
      <x:c r="I22" s="68"/>
      <x:c r="J22" s="68"/>
      <x:c r="K22" s="68"/>
      <x:c r="L22" s="68"/>
      <x:c r="M22" s="68"/>
      <x:c r="N22" s="68"/>
      <x:c r="O22" s="68"/>
      <x:c r="P22" s="68"/>
      <x:c r="Q22" s="68"/>
      <x:c r="R22" s="68"/>
    </x:row>
    <x:row r="23" ht="15" hidden="0" customHeight="1">
      <x:c r="A23" s="68"/>
      <x:c r="B23" s="68"/>
      <x:c r="C23" s="68" t="str">
        <x:v>Current average occupancy</x:v>
      </x:c>
      <x:c r="D23" s="87" t="n">
        <x:v>0.25</x:v>
      </x:c>
      <x:c r="E23" s="68" t="str">
        <x:v>%</x:v>
      </x:c>
      <x:c r="F23" s="68" t="str">
        <x:v>Management assumption; close to BPS Pandeglang data</x:v>
      </x:c>
      <x:c r="G23" s="68"/>
      <x:c r="H23" s="68"/>
      <x:c r="I23" s="68"/>
      <x:c r="J23" s="68"/>
      <x:c r="K23" s="68"/>
      <x:c r="L23" s="68"/>
      <x:c r="M23" s="68"/>
      <x:c r="N23" s="68"/>
      <x:c r="O23" s="68"/>
      <x:c r="P23" s="68"/>
      <x:c r="Q23" s="68"/>
      <x:c r="R23" s="68"/>
    </x:row>
    <x:row r="24" ht="15" hidden="0" customHeight="1">
      <x:c r="A24" s="68"/>
      <x:c r="B24" s="68"/>
      <x:c r="C24" s="68" t="str">
        <x:v>Current Mon-Thu occupancy</x:v>
      </x:c>
      <x:c r="D24" s="87" t="n">
        <x:v>0.05</x:v>
      </x:c>
      <x:c r="E24" s="68" t="str">
        <x:v>%</x:v>
      </x:c>
      <x:c r="F24" s="68" t="str">
        <x:v>Management assumption reflecting very low weekday demand</x:v>
      </x:c>
      <x:c r="G24" s="68"/>
      <x:c r="H24" s="68"/>
      <x:c r="I24" s="68"/>
      <x:c r="J24" s="68"/>
      <x:c r="K24" s="68"/>
      <x:c r="L24" s="68"/>
      <x:c r="M24" s="68"/>
      <x:c r="N24" s="68"/>
      <x:c r="O24" s="68"/>
      <x:c r="P24" s="68"/>
      <x:c r="Q24" s="68"/>
      <x:c r="R24" s="68"/>
    </x:row>
    <x:row r="25" ht="15" hidden="0" customHeight="1">
      <x:c r="A25" s="68"/>
      <x:c r="B25" s="68"/>
      <x:c r="C25" s="68" t="str">
        <x:v>Average room rate incl. breakfast</x:v>
      </x:c>
      <x:c r="D25" s="91" t="n">
        <x:v>1000000</x:v>
      </x:c>
      <x:c r="E25" s="68" t="str">
        <x:v>Rp/room/night</x:v>
      </x:c>
      <x:c r="F25" s="68" t="str">
        <x:v>Equivalent to Rp500,000 per person</x:v>
      </x:c>
      <x:c r="G25" s="68"/>
      <x:c r="H25" s="68"/>
      <x:c r="I25" s="68"/>
      <x:c r="J25" s="68"/>
      <x:c r="K25" s="68"/>
      <x:c r="L25" s="68"/>
      <x:c r="M25" s="68"/>
      <x:c r="N25" s="68"/>
      <x:c r="O25" s="68"/>
      <x:c r="P25" s="68"/>
      <x:c r="Q25" s="68"/>
      <x:c r="R25" s="68"/>
    </x:row>
    <x:row r="26" ht="15" hidden="0" customHeight="1">
      <x:c r="A26" s="68"/>
      <x:c r="B26" s="68"/>
      <x:c r="C26" s="68" t="str">
        <x:v>Package capacity</x:v>
      </x:c>
      <x:c r="D26" s="86" t="n">
        <x:v>600</x:v>
      </x:c>
      <x:c r="E26" s="68" t="str">
        <x:v>guests/week</x:v>
      </x:c>
      <x:c r="F26" s="68" t="str">
        <x:v>One 5D4N cohort</x:v>
      </x:c>
      <x:c r="G26" s="68"/>
      <x:c r="H26" s="68"/>
      <x:c r="I26" s="68"/>
      <x:c r="J26" s="68"/>
      <x:c r="K26" s="68"/>
      <x:c r="L26" s="68"/>
      <x:c r="M26" s="68"/>
      <x:c r="N26" s="68"/>
      <x:c r="O26" s="68"/>
      <x:c r="P26" s="68"/>
      <x:c r="Q26" s="68"/>
      <x:c r="R26" s="68"/>
    </x:row>
    <x:row r="27" ht="15" hidden="0" customHeight="1">
      <x:c r="A27" s="68"/>
      <x:c r="B27" s="68"/>
      <x:c r="C27" s="68" t="str">
        <x:v>Package nights</x:v>
      </x:c>
      <x:c r="D27" s="86" t="n">
        <x:v>4</x:v>
      </x:c>
      <x:c r="E27" s="68" t="str">
        <x:v>nights</x:v>
      </x:c>
      <x:c r="F27" s="68" t="str">
        <x:v>Monday through Thursday</x:v>
      </x:c>
      <x:c r="G27" s="68"/>
      <x:c r="H27" s="68"/>
      <x:c r="I27" s="68"/>
      <x:c r="J27" s="68"/>
      <x:c r="K27" s="68"/>
      <x:c r="L27" s="68"/>
      <x:c r="M27" s="68"/>
      <x:c r="N27" s="68"/>
      <x:c r="O27" s="68"/>
      <x:c r="P27" s="68"/>
      <x:c r="Q27" s="68"/>
      <x:c r="R27" s="68"/>
    </x:row>
    <x:row r="28" ht="15" hidden="0" customHeight="1">
      <x:c r="A28" s="68"/>
      <x:c r="B28" s="68"/>
      <x:c r="C28" s="68" t="str">
        <x:v>Education activity days</x:v>
      </x:c>
      <x:c r="D28" s="86" t="n">
        <x:v>3</x:v>
      </x:c>
      <x:c r="E28" s="68" t="str">
        <x:v>days</x:v>
      </x:c>
      <x:c r="F28" s="68" t="str">
        <x:v>Two attractions per day</x:v>
      </x:c>
      <x:c r="G28" s="68"/>
      <x:c r="H28" s="68"/>
      <x:c r="I28" s="68"/>
      <x:c r="J28" s="68"/>
      <x:c r="K28" s="68"/>
      <x:c r="L28" s="68"/>
      <x:c r="M28" s="68"/>
      <x:c r="N28" s="68"/>
      <x:c r="O28" s="68"/>
      <x:c r="P28" s="68"/>
      <x:c r="Q28" s="68"/>
      <x:c r="R28" s="68"/>
    </x:row>
    <x:row r="29" ht="15" hidden="0" customHeight="1">
      <x:c r="A29" s="68"/>
      <x:c r="B29" s="68"/>
      <x:c r="C29" s="68" t="str">
        <x:v>Number of attractions</x:v>
      </x:c>
      <x:c r="D29" s="86" t="n">
        <x:v>6</x:v>
      </x:c>
      <x:c r="E29" s="68" t="str">
        <x:v>sites</x:v>
      </x:c>
      <x:c r="F29" s="68" t="str">
        <x:v>Excludes shared infrastructure</x:v>
      </x:c>
      <x:c r="G29" s="68"/>
      <x:c r="H29" s="68"/>
      <x:c r="I29" s="68"/>
      <x:c r="J29" s="68"/>
      <x:c r="K29" s="68"/>
      <x:c r="L29" s="68"/>
      <x:c r="M29" s="68"/>
      <x:c r="N29" s="68"/>
      <x:c r="O29" s="68"/>
      <x:c r="P29" s="68"/>
      <x:c r="Q29" s="68"/>
      <x:c r="R29" s="68"/>
    </x:row>
    <x:row r="30" ht="15" hidden="0" customHeight="1">
      <x:c r="A30" s="68"/>
      <x:c r="B30" s="68"/>
      <x:c r="C30" s="68" t="str">
        <x:v>Attraction capacity</x:v>
      </x:c>
      <x:c r="D30" s="86" t="n">
        <x:v>200</x:v>
      </x:c>
      <x:c r="E30" s="68" t="str">
        <x:v>visits/site/day</x:v>
      </x:c>
      <x:c r="F30" s="68" t="str">
        <x:v>Two sessions of 100 people</x:v>
      </x:c>
      <x:c r="G30" s="68"/>
      <x:c r="H30" s="68"/>
      <x:c r="I30" s="68"/>
      <x:c r="J30" s="68"/>
      <x:c r="K30" s="68"/>
      <x:c r="L30" s="68"/>
      <x:c r="M30" s="68"/>
      <x:c r="N30" s="68"/>
      <x:c r="O30" s="68"/>
      <x:c r="P30" s="68"/>
      <x:c r="Q30" s="68"/>
      <x:c r="R30" s="68"/>
    </x:row>
    <x:row r="31" ht="15" hidden="0" customHeight="1">
      <x:c r="A31" s="68"/>
      <x:c r="B31" s="68"/>
      <x:c r="C31" s="68" t="str">
        <x:v>Ticket allocation per attraction</x:v>
      </x:c>
      <x:c r="D31" s="91" t="n">
        <x:v>75000</x:v>
      </x:c>
      <x:c r="E31" s="68" t="str">
        <x:v>Rp/visit</x:v>
      </x:c>
      <x:c r="F31" s="68" t="str">
        <x:v>Paid from the bundled 5D4N package</x:v>
      </x:c>
      <x:c r="G31" s="68"/>
      <x:c r="H31" s="68"/>
      <x:c r="I31" s="68"/>
      <x:c r="J31" s="68"/>
      <x:c r="K31" s="68"/>
      <x:c r="L31" s="68"/>
      <x:c r="M31" s="68"/>
      <x:c r="N31" s="68"/>
      <x:c r="O31" s="68"/>
      <x:c r="P31" s="68"/>
      <x:c r="Q31" s="68"/>
      <x:c r="R31" s="68"/>
    </x:row>
    <x:row r="32" ht="15" hidden="0" customHeight="1">
      <x:c r="A32" s="68"/>
      <x:c r="B32" s="68"/>
      <x:c r="C32" s="68" t="str">
        <x:v>Lunch spend per activity day</x:v>
      </x:c>
      <x:c r="D32" s="91" t="n">
        <x:v>125000</x:v>
      </x:c>
      <x:c r="E32" s="68" t="str">
        <x:v>Rp/person</x:v>
      </x:c>
      <x:c r="F32" s="68" t="str">
        <x:v>Three themed lunches</x:v>
      </x:c>
      <x:c r="G32" s="68"/>
      <x:c r="H32" s="68"/>
      <x:c r="I32" s="68"/>
      <x:c r="J32" s="68"/>
      <x:c r="K32" s="68"/>
      <x:c r="L32" s="68"/>
      <x:c r="M32" s="68"/>
      <x:c r="N32" s="68"/>
      <x:c r="O32" s="68"/>
      <x:c r="P32" s="68"/>
      <x:c r="Q32" s="68"/>
      <x:c r="R32" s="68"/>
    </x:row>
    <x:row r="33" ht="15" hidden="0" customHeight="1">
      <x:c r="A33" s="68"/>
      <x:c r="B33" s="68"/>
      <x:c r="C33" s="68" t="str">
        <x:v>On-site retail per package guest</x:v>
      </x:c>
      <x:c r="D33" s="91" t="n">
        <x:v>150000</x:v>
      </x:c>
      <x:c r="E33" s="68" t="str">
        <x:v>Rp/person/trip</x:v>
      </x:c>
      <x:c r="F33" s="68" t="str">
        <x:v>Products and workshops</x:v>
      </x:c>
      <x:c r="G33" s="68"/>
      <x:c r="H33" s="68"/>
      <x:c r="I33" s="68"/>
      <x:c r="J33" s="68"/>
      <x:c r="K33" s="68"/>
      <x:c r="L33" s="68"/>
      <x:c r="M33" s="68"/>
      <x:c r="N33" s="68"/>
      <x:c r="O33" s="68"/>
      <x:c r="P33" s="68"/>
      <x:c r="Q33" s="68"/>
      <x:c r="R33" s="68"/>
    </x:row>
    <x:row r="34" ht="15" hidden="0" customHeight="1">
      <x:c r="A34" s="68"/>
      <x:c r="B34" s="68"/>
      <x:c r="C34" s="68" t="str">
        <x:v>Weekend visitor capacity</x:v>
      </x:c>
      <x:c r="D34" s="86" t="n">
        <x:v>1200</x:v>
      </x:c>
      <x:c r="E34" s="68" t="str">
        <x:v>persons/weekend</x:v>
      </x:c>
      <x:c r="F34" s="68" t="str">
        <x:v>Average two attractions per visitor</x:v>
      </x:c>
      <x:c r="G34" s="68"/>
      <x:c r="H34" s="68"/>
      <x:c r="I34" s="68"/>
      <x:c r="J34" s="68"/>
      <x:c r="K34" s="68"/>
      <x:c r="L34" s="68"/>
      <x:c r="M34" s="68"/>
      <x:c r="N34" s="68"/>
      <x:c r="O34" s="68"/>
      <x:c r="P34" s="68"/>
      <x:c r="Q34" s="68"/>
      <x:c r="R34" s="68"/>
    </x:row>
    <x:row r="35" ht="15" hidden="0" customHeight="1">
      <x:c r="A35" s="68"/>
      <x:c r="B35" s="68"/>
      <x:c r="C35" s="68" t="str">
        <x:v>Weekend spend per visitor</x:v>
      </x:c>
      <x:c r="D35" s="91" t="n">
        <x:v>350000</x:v>
      </x:c>
      <x:c r="E35" s="68" t="str">
        <x:v>Rp/person</x:v>
      </x:c>
      <x:c r="F35" s="68" t="str">
        <x:v>Tickets, food, and retail</x:v>
      </x:c>
      <x:c r="G35" s="68"/>
      <x:c r="H35" s="68"/>
      <x:c r="I35" s="68"/>
      <x:c r="J35" s="68"/>
      <x:c r="K35" s="68"/>
      <x:c r="L35" s="68"/>
      <x:c r="M35" s="68"/>
      <x:c r="N35" s="68"/>
      <x:c r="O35" s="68"/>
      <x:c r="P35" s="68"/>
      <x:c r="Q35" s="68"/>
      <x:c r="R35" s="68"/>
    </x:row>
    <x:row r="36" ht="15" hidden="0" customHeight="1">
      <x:c r="A36" s="68"/>
      <x:c r="B36" s="68"/>
      <x:c r="C36" s="68" t="str">
        <x:v>Hotel dinner spend</x:v>
      </x:c>
      <x:c r="D36" s="91" t="n">
        <x:v>125000</x:v>
      </x:c>
      <x:c r="E36" s="68" t="str">
        <x:v>Rp/person/night</x:v>
      </x:c>
      <x:c r="F36" s="68" t="str">
        <x:v>Breakfast already included in room rate</x:v>
      </x:c>
      <x:c r="G36" s="68"/>
      <x:c r="H36" s="68"/>
      <x:c r="I36" s="68"/>
      <x:c r="J36" s="68"/>
      <x:c r="K36" s="68"/>
      <x:c r="L36" s="68"/>
      <x:c r="M36" s="68"/>
      <x:c r="N36" s="68"/>
      <x:c r="O36" s="68"/>
      <x:c r="P36" s="68"/>
      <x:c r="Q36" s="68"/>
      <x:c r="R36" s="68"/>
    </x:row>
    <x:row r="37" ht="15" hidden="0" customHeight="1">
      <x:c r="A37" s="68"/>
      <x:c r="B37" s="68"/>
      <x:c r="C37" s="68" t="str">
        <x:v>Price escalation</x:v>
      </x:c>
      <x:c r="D37" s="87" t="n">
        <x:v>0.03</x:v>
      </x:c>
      <x:c r="E37" s="68" t="str">
        <x:v>%/year</x:v>
      </x:c>
      <x:c r="F37" s="68" t="str">
        <x:v>Applied to visitor prices and room rate</x:v>
      </x:c>
      <x:c r="G37" s="68"/>
      <x:c r="H37" s="68"/>
      <x:c r="I37" s="68"/>
      <x:c r="J37" s="68"/>
      <x:c r="K37" s="68"/>
      <x:c r="L37" s="68"/>
      <x:c r="M37" s="68"/>
      <x:c r="N37" s="68"/>
      <x:c r="O37" s="68"/>
      <x:c r="P37" s="68"/>
      <x:c r="Q37" s="68"/>
      <x:c r="R37" s="68"/>
    </x:row>
    <x:row r="38" ht="15" hidden="0" customHeight="1">
      <x:c r="A38" s="68"/>
      <x:c r="B38" s="68"/>
      <x:c r="C38" s="68" t="str">
        <x:v>Fixed operating cost Year 1</x:v>
      </x:c>
      <x:c r="D38" s="92" t="n">
        <x:v>4000000000</x:v>
      </x:c>
      <x:c r="E38" s="68" t="str">
        <x:v>Rp/year</x:v>
      </x:c>
      <x:c r="F38" s="68" t="str">
        <x:v>All sites plus destination management</x:v>
      </x:c>
      <x:c r="G38" s="68"/>
      <x:c r="H38" s="68"/>
      <x:c r="I38" s="68"/>
      <x:c r="J38" s="68"/>
      <x:c r="K38" s="68"/>
      <x:c r="L38" s="68"/>
      <x:c r="M38" s="68"/>
      <x:c r="N38" s="68"/>
      <x:c r="O38" s="68"/>
      <x:c r="P38" s="68"/>
      <x:c r="Q38" s="68"/>
      <x:c r="R38" s="68"/>
    </x:row>
    <x:row r="39" ht="15" hidden="0" customHeight="1">
      <x:c r="A39" s="68"/>
      <x:c r="B39" s="68"/>
      <x:c r="C39" s="68" t="str">
        <x:v>Fixed cost escalation</x:v>
      </x:c>
      <x:c r="D39" s="87" t="n">
        <x:v>0.05</x:v>
      </x:c>
      <x:c r="E39" s="68" t="str">
        <x:v>%/year</x:v>
      </x:c>
      <x:c r="F39" s="68" t="str">
        <x:v>Nominal</x:v>
      </x:c>
      <x:c r="G39" s="68"/>
      <x:c r="H39" s="68"/>
      <x:c r="I39" s="68"/>
      <x:c r="J39" s="68"/>
      <x:c r="K39" s="68"/>
      <x:c r="L39" s="68"/>
      <x:c r="M39" s="68"/>
      <x:c r="N39" s="68"/>
      <x:c r="O39" s="68"/>
      <x:c r="P39" s="68"/>
      <x:c r="Q39" s="68"/>
      <x:c r="R39" s="68"/>
    </x:row>
    <x:row r="40" ht="15" hidden="0" customHeight="1">
      <x:c r="A40" s="68"/>
      <x:c r="B40" s="68"/>
      <x:c r="C40" s="68" t="str">
        <x:v>TL revenue share</x:v>
      </x:c>
      <x:c r="D40" s="87" t="n">
        <x:v>0.02</x:v>
      </x:c>
      <x:c r="E40" s="68" t="str">
        <x:v>% visitor revenue</x:v>
      </x:c>
      <x:c r="F40" s="68" t="str">
        <x:v>Recurring destination fee</x:v>
      </x:c>
      <x:c r="G40" s="68"/>
      <x:c r="H40" s="68"/>
      <x:c r="I40" s="68"/>
      <x:c r="J40" s="68"/>
      <x:c r="K40" s="68"/>
      <x:c r="L40" s="68"/>
      <x:c r="M40" s="68"/>
      <x:c r="N40" s="68"/>
      <x:c r="O40" s="68"/>
      <x:c r="P40" s="68"/>
      <x:c r="Q40" s="68"/>
      <x:c r="R40" s="68"/>
    </x:row>
    <x:row r="41" ht="15" hidden="0" customHeight="1">
      <x:c r="A41" s="68"/>
      <x:c r="B41" s="68"/>
      <x:c r="C41" s="68" t="str">
        <x:v>TL land lease yield</x:v>
      </x:c>
      <x:c r="D41" s="87" t="n">
        <x:v>0.05</x:v>
      </x:c>
      <x:c r="E41" s="68" t="str">
        <x:v>% land value/year</x:v>
      </x:c>
      <x:c r="F41" s="68" t="str">
        <x:v>Long lease assumption</x:v>
      </x:c>
      <x:c r="G41" s="68"/>
      <x:c r="H41" s="68"/>
      <x:c r="I41" s="68"/>
      <x:c r="J41" s="68"/>
      <x:c r="K41" s="68"/>
      <x:c r="L41" s="68"/>
      <x:c r="M41" s="68"/>
      <x:c r="N41" s="68"/>
      <x:c r="O41" s="68"/>
      <x:c r="P41" s="68"/>
      <x:c r="Q41" s="68"/>
      <x:c r="R41" s="68"/>
    </x:row>
    <x:row r="42" ht="15" hidden="0" customHeight="1">
      <x:c r="A42" s="68"/>
      <x:c r="B42" s="68"/>
      <x:c r="C42" s="68" t="str">
        <x:v>Land lease escalation</x:v>
      </x:c>
      <x:c r="D42" s="87" t="n">
        <x:v>0.03</x:v>
      </x:c>
      <x:c r="E42" s="68" t="str">
        <x:v>%/year</x:v>
      </x:c>
      <x:c r="F42" s="68" t="str">
        <x:v>Nominal</x:v>
      </x:c>
      <x:c r="G42" s="68"/>
      <x:c r="H42" s="68"/>
      <x:c r="I42" s="68"/>
      <x:c r="J42" s="68"/>
      <x:c r="K42" s="68"/>
      <x:c r="L42" s="68"/>
      <x:c r="M42" s="68"/>
      <x:c r="N42" s="68"/>
      <x:c r="O42" s="68"/>
      <x:c r="P42" s="68"/>
      <x:c r="Q42" s="68"/>
      <x:c r="R42" s="68"/>
    </x:row>
    <x:row r="43" ht="15" hidden="0" customHeight="1">
      <x:c r="A43" s="68"/>
      <x:c r="B43" s="68"/>
      <x:c r="C43" s="68" t="str">
        <x:v>Land economic value</x:v>
      </x:c>
      <x:c r="D43" s="91" t="n">
        <x:v>500000</x:v>
      </x:c>
      <x:c r="E43" s="68" t="str">
        <x:v>Rp/m2</x:v>
      </x:c>
      <x:c r="F43" s="68" t="str">
        <x:v>Developer land cost assumption</x:v>
      </x:c>
      <x:c r="G43" s="68"/>
      <x:c r="H43" s="68"/>
      <x:c r="I43" s="68"/>
      <x:c r="J43" s="68"/>
      <x:c r="K43" s="68"/>
      <x:c r="L43" s="68"/>
      <x:c r="M43" s="68"/>
      <x:c r="N43" s="68"/>
      <x:c r="O43" s="68"/>
      <x:c r="P43" s="68"/>
      <x:c r="Q43" s="68"/>
      <x:c r="R43" s="68"/>
    </x:row>
    <x:row r="44" ht="15" hidden="0" customHeight="1">
      <x:c r="A44" s="68"/>
      <x:c r="B44" s="68"/>
      <x:c r="C44" s="68" t="str">
        <x:v>Debt share</x:v>
      </x:c>
      <x:c r="D44" s="87" t="n">
        <x:v>0.6</x:v>
      </x:c>
      <x:c r="E44" s="68" t="str">
        <x:v>% cash CAPEX</x:v>
      </x:c>
      <x:c r="F44" s="68" t="str">
        <x:v>Illustrative bank financing</x:v>
      </x:c>
      <x:c r="G44" s="68"/>
      <x:c r="H44" s="68"/>
      <x:c r="I44" s="68"/>
      <x:c r="J44" s="68"/>
      <x:c r="K44" s="68"/>
      <x:c r="L44" s="68"/>
      <x:c r="M44" s="68"/>
      <x:c r="N44" s="68"/>
      <x:c r="O44" s="68"/>
      <x:c r="P44" s="68"/>
      <x:c r="Q44" s="68"/>
      <x:c r="R44" s="68"/>
    </x:row>
    <x:row r="45" ht="15" hidden="0" customHeight="1">
      <x:c r="A45" s="68"/>
      <x:c r="B45" s="68"/>
      <x:c r="C45" s="68" t="str">
        <x:v>Debt interest</x:v>
      </x:c>
      <x:c r="D45" s="87" t="n">
        <x:v>0.105</x:v>
      </x:c>
      <x:c r="E45" s="68" t="str">
        <x:v>%/year</x:v>
      </x:c>
      <x:c r="F45" s="68" t="str">
        <x:v>Editable financing assumption</x:v>
      </x:c>
      <x:c r="G45" s="68"/>
      <x:c r="H45" s="68"/>
      <x:c r="I45" s="68"/>
      <x:c r="J45" s="68"/>
      <x:c r="K45" s="68"/>
      <x:c r="L45" s="68"/>
      <x:c r="M45" s="68"/>
      <x:c r="N45" s="68"/>
      <x:c r="O45" s="68"/>
      <x:c r="P45" s="68"/>
      <x:c r="Q45" s="68"/>
      <x:c r="R45" s="68"/>
    </x:row>
    <x:row r="46" ht="15" hidden="0" customHeight="1">
      <x:c r="A46" s="68"/>
      <x:c r="B46" s="68"/>
      <x:c r="C46" s="68" t="str">
        <x:v>Debt tenor</x:v>
      </x:c>
      <x:c r="D46" s="86" t="n">
        <x:v>10</x:v>
      </x:c>
      <x:c r="E46" s="68" t="str">
        <x:v>years</x:v>
      </x:c>
      <x:c r="F46" s="68" t="str">
        <x:v>Illustrative</x:v>
      </x:c>
      <x:c r="G46" s="68"/>
      <x:c r="H46" s="68"/>
      <x:c r="I46" s="68"/>
      <x:c r="J46" s="68"/>
      <x:c r="K46" s="68"/>
      <x:c r="L46" s="68"/>
      <x:c r="M46" s="68"/>
      <x:c r="N46" s="68"/>
      <x:c r="O46" s="68"/>
      <x:c r="P46" s="68"/>
      <x:c r="Q46" s="68"/>
      <x:c r="R46" s="68"/>
    </x:row>
    <x:row r="47" ht="15" hidden="0" customHeight="1">
      <x:c r="A47" s="68"/>
      <x:c r="B47" s="68"/>
      <x:c r="C47" s="68" t="str">
        <x:v>Principal grace</x:v>
      </x:c>
      <x:c r="D47" s="86" t="n">
        <x:v>2</x:v>
      </x:c>
      <x:c r="E47" s="68" t="str">
        <x:v>years</x:v>
      </x:c>
      <x:c r="F47" s="68" t="str">
        <x:v>Interest remains payable</x:v>
      </x:c>
      <x:c r="G47" s="68"/>
      <x:c r="H47" s="68"/>
      <x:c r="I47" s="68"/>
      <x:c r="J47" s="68"/>
      <x:c r="K47" s="68"/>
      <x:c r="L47" s="68"/>
      <x:c r="M47" s="68"/>
      <x:c r="N47" s="68"/>
      <x:c r="O47" s="68"/>
      <x:c r="P47" s="68"/>
      <x:c r="Q47" s="68"/>
      <x:c r="R47" s="68"/>
    </x:row>
    <x:row r="48" ht="15" hidden="0" customHeight="1">
      <x:c r="A48" s="68"/>
      <x:c r="B48" s="68"/>
      <x:c r="C48" s="68" t="str">
        <x:v>Corporate tax</x:v>
      </x:c>
      <x:c r="D48" s="87" t="n">
        <x:v>0.22</x:v>
      </x:c>
      <x:c r="E48" s="68" t="str">
        <x:v>%</x:v>
      </x:c>
      <x:c r="F48" s="68" t="str">
        <x:v>Model assumption; confirm with tax adviser and KEK facilities</x:v>
      </x:c>
      <x:c r="G48" s="68"/>
      <x:c r="H48" s="68"/>
      <x:c r="I48" s="68"/>
      <x:c r="J48" s="68"/>
      <x:c r="K48" s="68"/>
      <x:c r="L48" s="68"/>
      <x:c r="M48" s="68"/>
      <x:c r="N48" s="68"/>
      <x:c r="O48" s="68"/>
      <x:c r="P48" s="68"/>
      <x:c r="Q48" s="68"/>
      <x:c r="R48" s="68"/>
    </x:row>
    <x:row r="49" ht="15" hidden="0" customHeight="1">
      <x:c r="A49" s="68"/>
      <x:c r="B49" s="68"/>
      <x:c r="C49" s="68" t="str">
        <x:v>Depreciable share of cash CAPEX</x:v>
      </x:c>
      <x:c r="D49" s="87" t="n">
        <x:v>0.9</x:v>
      </x:c>
      <x:c r="E49" s="68" t="str">
        <x:v>%</x:v>
      </x:c>
      <x:c r="F49" s="68" t="str">
        <x:v>Simplifying assumption</x:v>
      </x:c>
      <x:c r="G49" s="68"/>
      <x:c r="H49" s="68"/>
      <x:c r="I49" s="68"/>
      <x:c r="J49" s="68"/>
      <x:c r="K49" s="68"/>
      <x:c r="L49" s="68"/>
      <x:c r="M49" s="68"/>
      <x:c r="N49" s="68"/>
      <x:c r="O49" s="68"/>
      <x:c r="P49" s="68"/>
      <x:c r="Q49" s="68"/>
      <x:c r="R49" s="68"/>
    </x:row>
    <x:row r="50" ht="15" hidden="0" customHeight="1">
      <x:c r="A50" s="68"/>
      <x:c r="B50" s="68"/>
      <x:c r="C50" s="68" t="str">
        <x:v>Depreciation period</x:v>
      </x:c>
      <x:c r="D50" s="86" t="n">
        <x:v>15</x:v>
      </x:c>
      <x:c r="E50" s="68" t="str">
        <x:v>years</x:v>
      </x:c>
      <x:c r="F50" s="68" t="str">
        <x:v>Straight-line</x:v>
      </x:c>
      <x:c r="G50" s="68"/>
      <x:c r="H50" s="68"/>
      <x:c r="I50" s="68"/>
      <x:c r="J50" s="68"/>
      <x:c r="K50" s="68"/>
      <x:c r="L50" s="68"/>
      <x:c r="M50" s="68"/>
      <x:c r="N50" s="68"/>
      <x:c r="O50" s="68"/>
      <x:c r="P50" s="68"/>
      <x:c r="Q50" s="68"/>
      <x:c r="R50" s="68"/>
    </x:row>
    <x:row r="51" ht="15" hidden="0" customHeight="1">
      <x:c r="A51" s="68"/>
      <x:c r="B51" s="68"/>
      <x:c r="C51" s="68" t="str">
        <x:v>Maintenance CAPEX</x:v>
      </x:c>
      <x:c r="D51" s="87" t="n">
        <x:v>0.02</x:v>
      </x:c>
      <x:c r="E51" s="68" t="str">
        <x:v>% initial cash CAPEX</x:v>
      </x:c>
      <x:c r="F51" s="68" t="str">
        <x:v>Starts in Year 2</x:v>
      </x:c>
      <x:c r="G51" s="68"/>
      <x:c r="H51" s="68"/>
      <x:c r="I51" s="68"/>
      <x:c r="J51" s="68"/>
      <x:c r="K51" s="68"/>
      <x:c r="L51" s="68"/>
      <x:c r="M51" s="68"/>
      <x:c r="N51" s="68"/>
      <x:c r="O51" s="68"/>
      <x:c r="P51" s="68"/>
      <x:c r="Q51" s="68"/>
      <x:c r="R51" s="68"/>
    </x:row>
    <x:row r="52" ht="15" hidden="0" customHeight="1">
      <x:c r="A52" s="68"/>
      <x:c r="B52" s="68"/>
      <x:c r="C52" s="68" t="str">
        <x:v>Net working capital</x:v>
      </x:c>
      <x:c r="D52" s="87" t="n">
        <x:v>0.03</x:v>
      </x:c>
      <x:c r="E52" s="68" t="str">
        <x:v>% revenue</x:v>
      </x:c>
      <x:c r="F52" s="68" t="str">
        <x:v>Incremental balance</x:v>
      </x:c>
      <x:c r="G52" s="68"/>
      <x:c r="H52" s="68"/>
      <x:c r="I52" s="68"/>
      <x:c r="J52" s="68"/>
      <x:c r="K52" s="68"/>
      <x:c r="L52" s="68"/>
      <x:c r="M52" s="68"/>
      <x:c r="N52" s="68"/>
      <x:c r="O52" s="68"/>
      <x:c r="P52" s="68"/>
      <x:c r="Q52" s="68"/>
      <x:c r="R52" s="68"/>
    </x:row>
    <x:row r="53" ht="15" hidden="0" customHeight="1">
      <x:c r="A53" s="68"/>
      <x:c r="B53" s="68"/>
      <x:c r="C53" s="68" t="str">
        <x:v>Villa price per room-key</x:v>
      </x:c>
      <x:c r="D53" s="92" t="n">
        <x:v>1500000000</x:v>
      </x:c>
      <x:c r="E53" s="68" t="str">
        <x:v>Rp/key</x:v>
      </x:c>
      <x:c r="F53" s="68" t="str">
        <x:v>Editable proxy for owner yield</x:v>
      </x:c>
      <x:c r="G53" s="68"/>
      <x:c r="H53" s="68"/>
      <x:c r="I53" s="68"/>
      <x:c r="J53" s="68"/>
      <x:c r="K53" s="68"/>
      <x:c r="L53" s="68"/>
      <x:c r="M53" s="68"/>
      <x:c r="N53" s="68"/>
      <x:c r="O53" s="68"/>
      <x:c r="P53" s="68"/>
      <x:c r="Q53" s="68"/>
      <x:c r="R53" s="68"/>
    </x:row>
    <x:row r="54" ht="15" hidden="0" customHeight="1">
      <x:c r="A54" s="68"/>
      <x:c r="B54" s="68"/>
      <x:c r="C54" s="68" t="str">
        <x:v>Villa owner payout</x:v>
      </x:c>
      <x:c r="D54" s="87" t="n">
        <x:v>0.55</x:v>
      </x:c>
      <x:c r="E54" s="68" t="str">
        <x:v>% room revenue</x:v>
      </x:c>
      <x:c r="F54" s="68" t="str">
        <x:v>After management and operating deductions</x:v>
      </x:c>
      <x:c r="G54" s="68"/>
      <x:c r="H54" s="68"/>
      <x:c r="I54" s="68"/>
      <x:c r="J54" s="68"/>
      <x:c r="K54" s="68"/>
      <x:c r="L54" s="68"/>
      <x:c r="M54" s="68"/>
      <x:c r="N54" s="68"/>
      <x:c r="O54" s="68"/>
      <x:c r="P54" s="68"/>
      <x:c r="Q54" s="68"/>
      <x:c r="R54" s="68"/>
    </x:row>
    <x:row r="55" ht="15" hidden="0" customHeight="1">
      <x:c r="A55" s="68"/>
      <x:c r="B55" s="68"/>
      <x:c r="C55" s="68" t="str">
        <x:v>Preopening, working capital, reserve</x:v>
      </x:c>
      <x:c r="D55" s="92" t="n">
        <x:v>3000000000</x:v>
      </x:c>
      <x:c r="E55" s="68" t="str">
        <x:v>Rp</x:v>
      </x:c>
      <x:c r="F55" s="68" t="str">
        <x:v>Includes Year 1 debt-service buffer in Base Case</x:v>
      </x:c>
      <x:c r="G55" s="68"/>
      <x:c r="H55" s="68"/>
      <x:c r="I55" s="68"/>
      <x:c r="J55" s="68"/>
      <x:c r="K55" s="68"/>
      <x:c r="L55" s="68"/>
      <x:c r="M55" s="68"/>
      <x:c r="N55" s="68"/>
      <x:c r="O55" s="68"/>
      <x:c r="P55" s="68"/>
      <x:c r="Q55" s="68"/>
      <x:c r="R55" s="68"/>
    </x:row>
    <x:row r="56" ht="15" hidden="0" customHeight="1">
      <x:c r="A56" s="68"/>
      <x:c r="B56" s="68"/>
      <x:c r="C56" s="68" t="str">
        <x:v>Equity hurdle rate</x:v>
      </x:c>
      <x:c r="D56" s="87" t="n">
        <x:v>0.15</x:v>
      </x:c>
      <x:c r="E56" s="68" t="str">
        <x:v>%/year</x:v>
      </x:c>
      <x:c r="F56" s="68" t="str">
        <x:v>Used for NPV</x:v>
      </x:c>
      <x:c r="G56" s="68"/>
      <x:c r="H56" s="68"/>
      <x:c r="I56" s="68"/>
      <x:c r="J56" s="68"/>
      <x:c r="K56" s="68"/>
      <x:c r="L56" s="68"/>
      <x:c r="M56" s="68"/>
      <x:c r="N56" s="68"/>
      <x:c r="O56" s="68"/>
      <x:c r="P56" s="68"/>
      <x:c r="Q56" s="68"/>
      <x:c r="R56" s="68"/>
    </x:row>
    <x:row r="57" ht="15" hidden="0" customHeight="1">
      <x:c r="A57" s="68"/>
      <x:c r="B57" s="68"/>
      <x:c r="C57" s="68"/>
      <x:c r="D57" s="68"/>
      <x:c r="E57" s="68"/>
      <x:c r="F57" s="68"/>
      <x:c r="G57" s="68"/>
      <x:c r="H57" s="68"/>
      <x:c r="I57" s="68"/>
      <x:c r="J57" s="68"/>
      <x:c r="K57" s="68"/>
      <x:c r="L57" s="68"/>
      <x:c r="M57" s="68"/>
      <x:c r="N57" s="68"/>
      <x:c r="O57" s="68"/>
      <x:c r="P57" s="68"/>
      <x:c r="Q57" s="68"/>
      <x:c r="R57" s="68"/>
    </x:row>
    <x:row r="58" ht="15" hidden="0" customHeight="1">
      <x:c r="A58" s="68"/>
      <x:c r="B58" s="68"/>
      <x:c r="C58" s="11" t="str">
        <x:v>Annual Ramp</x:v>
      </x:c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2"/>
      <x:c r="P58" s="12"/>
      <x:c r="Q58" s="12"/>
      <x:c r="R58" s="13"/>
    </x:row>
    <x:row r="59" ht="15" hidden="0" customHeight="1">
      <x:c r="A59" s="68"/>
      <x:c r="B59" s="68"/>
      <x:c r="C59" s="19" t="str">
        <x:v>Driver</x:v>
      </x:c>
      <x:c r="D59" s="19" t="str">
        <x:v>Year 1</x:v>
      </x:c>
      <x:c r="E59" s="19" t="str">
        <x:v>Year 2</x:v>
      </x:c>
      <x:c r="F59" s="19" t="str">
        <x:v>Year 3</x:v>
      </x:c>
      <x:c r="G59" s="19" t="str">
        <x:v>Year 4</x:v>
      </x:c>
      <x:c r="H59" s="19" t="str">
        <x:v>Year 5</x:v>
      </x:c>
      <x:c r="I59" s="19" t="str">
        <x:v>Year 6</x:v>
      </x:c>
      <x:c r="J59" s="19" t="str">
        <x:v>Year 7</x:v>
      </x:c>
      <x:c r="K59" s="19" t="str">
        <x:v>Year 8</x:v>
      </x:c>
      <x:c r="L59" s="19" t="str">
        <x:v>Year 9</x:v>
      </x:c>
      <x:c r="M59" s="19" t="str">
        <x:v>Year 10</x:v>
      </x:c>
      <x:c r="N59" s="19" t="str">
        <x:v>Year 11</x:v>
      </x:c>
      <x:c r="O59" s="19" t="str">
        <x:v>Year 12</x:v>
      </x:c>
      <x:c r="P59" s="19" t="str">
        <x:v>Year 13</x:v>
      </x:c>
      <x:c r="Q59" s="19" t="str">
        <x:v>Year 14</x:v>
      </x:c>
      <x:c r="R59" s="19" t="str">
        <x:v>Year 15</x:v>
      </x:c>
    </x:row>
    <x:row r="60" ht="15" hidden="0" customHeight="1">
      <x:c r="A60" s="68"/>
      <x:c r="B60" s="68"/>
      <x:c r="C60" s="68" t="str">
        <x:v>Package ramp</x:v>
      </x:c>
      <x:c r="D60" s="87" t="n">
        <x:v>0.35</x:v>
      </x:c>
      <x:c r="E60" s="87" t="n">
        <x:v>0.5</x:v>
      </x:c>
      <x:c r="F60" s="87" t="n">
        <x:v>0.65</x:v>
      </x:c>
      <x:c r="G60" s="87" t="n">
        <x:v>0.8</x:v>
      </x:c>
      <x:c r="H60" s="87" t="n">
        <x:v>0.9</x:v>
      </x:c>
      <x:c r="I60" s="87" t="n">
        <x:v>1</x:v>
      </x:c>
      <x:c r="J60" s="87" t="n">
        <x:v>1</x:v>
      </x:c>
      <x:c r="K60" s="87" t="n">
        <x:v>1</x:v>
      </x:c>
      <x:c r="L60" s="87" t="n">
        <x:v>1</x:v>
      </x:c>
      <x:c r="M60" s="87" t="n">
        <x:v>1</x:v>
      </x:c>
      <x:c r="N60" s="87" t="n">
        <x:v>1</x:v>
      </x:c>
      <x:c r="O60" s="87" t="n">
        <x:v>1</x:v>
      </x:c>
      <x:c r="P60" s="87" t="n">
        <x:v>1</x:v>
      </x:c>
      <x:c r="Q60" s="87" t="n">
        <x:v>1</x:v>
      </x:c>
      <x:c r="R60" s="87" t="n">
        <x:v>1</x:v>
      </x:c>
    </x:row>
    <x:row r="61" ht="15" hidden="0" customHeight="1">
      <x:c r="A61" s="68"/>
      <x:c r="B61" s="68"/>
      <x:c r="C61" s="68" t="str">
        <x:v>Weekend visitor ramp</x:v>
      </x:c>
      <x:c r="D61" s="87" t="n">
        <x:v>0.5</x:v>
      </x:c>
      <x:c r="E61" s="87" t="n">
        <x:v>0.65</x:v>
      </x:c>
      <x:c r="F61" s="87" t="n">
        <x:v>0.8</x:v>
      </x:c>
      <x:c r="G61" s="87" t="n">
        <x:v>0.9</x:v>
      </x:c>
      <x:c r="H61" s="87" t="n">
        <x:v>1</x:v>
      </x:c>
      <x:c r="I61" s="87" t="n">
        <x:v>1</x:v>
      </x:c>
      <x:c r="J61" s="87" t="n">
        <x:v>1</x:v>
      </x:c>
      <x:c r="K61" s="87" t="n">
        <x:v>1</x:v>
      </x:c>
      <x:c r="L61" s="87" t="n">
        <x:v>1</x:v>
      </x:c>
      <x:c r="M61" s="87" t="n">
        <x:v>1</x:v>
      </x:c>
      <x:c r="N61" s="87" t="n">
        <x:v>1</x:v>
      </x:c>
      <x:c r="O61" s="87" t="n">
        <x:v>1</x:v>
      </x:c>
      <x:c r="P61" s="87" t="n">
        <x:v>1</x:v>
      </x:c>
      <x:c r="Q61" s="87" t="n">
        <x:v>1</x:v>
      </x:c>
      <x:c r="R61" s="87" t="n">
        <x:v>1</x:v>
      </x:c>
    </x:row>
    <x:row r="62" ht="15" hidden="0" customHeight="1">
      <x:c r="A62" s="68"/>
      <x:c r="B62" s="68"/>
      <x:c r="C62" s="68" t="str">
        <x:v>Other product ramp</x:v>
      </x:c>
      <x:c r="D62" s="87" t="n">
        <x:v>0.6</x:v>
      </x:c>
      <x:c r="E62" s="87" t="n">
        <x:v>0.75</x:v>
      </x:c>
      <x:c r="F62" s="87" t="n">
        <x:v>0.9</x:v>
      </x:c>
      <x:c r="G62" s="87" t="n">
        <x:v>1</x:v>
      </x:c>
      <x:c r="H62" s="87" t="n">
        <x:v>1</x:v>
      </x:c>
      <x:c r="I62" s="87" t="n">
        <x:v>1</x:v>
      </x:c>
      <x:c r="J62" s="87" t="n">
        <x:v>1</x:v>
      </x:c>
      <x:c r="K62" s="87" t="n">
        <x:v>1</x:v>
      </x:c>
      <x:c r="L62" s="87" t="n">
        <x:v>1</x:v>
      </x:c>
      <x:c r="M62" s="87" t="n">
        <x:v>1</x:v>
      </x:c>
      <x:c r="N62" s="87" t="n">
        <x:v>1</x:v>
      </x:c>
      <x:c r="O62" s="87" t="n">
        <x:v>1</x:v>
      </x:c>
      <x:c r="P62" s="87" t="n">
        <x:v>1</x:v>
      </x:c>
      <x:c r="Q62" s="87" t="n">
        <x:v>1</x:v>
      </x:c>
      <x:c r="R62" s="87" t="n">
        <x:v>1</x:v>
      </x:c>
    </x:row>
    <x:row r="63" ht="15" hidden="0" customHeight="1">
      <x:c r="A63" s="68"/>
      <x:c r="B63" s="68"/>
      <x:c r="C63" s="68"/>
      <x:c r="D63" s="68"/>
      <x:c r="E63" s="68"/>
      <x:c r="F63" s="68"/>
      <x:c r="G63" s="68"/>
      <x:c r="H63" s="68"/>
      <x:c r="I63" s="68"/>
      <x:c r="J63" s="68"/>
      <x:c r="K63" s="68"/>
      <x:c r="L63" s="68"/>
      <x:c r="M63" s="68"/>
      <x:c r="N63" s="68"/>
      <x:c r="O63" s="68"/>
      <x:c r="P63" s="68"/>
      <x:c r="Q63" s="68"/>
      <x:c r="R63" s="68"/>
    </x:row>
    <x:row r="64" ht="15" hidden="0" customHeight="1">
      <x:c r="A64" s="68"/>
      <x:c r="B64" s="68"/>
      <x:c r="C64" s="68"/>
      <x:c r="D64" s="68"/>
      <x:c r="E64" s="68"/>
      <x:c r="F64" s="68"/>
      <x:c r="G64" s="68"/>
      <x:c r="H64" s="68"/>
      <x:c r="I64" s="68"/>
      <x:c r="J64" s="68"/>
      <x:c r="K64" s="68"/>
      <x:c r="L64" s="68"/>
      <x:c r="M64" s="68"/>
      <x:c r="N64" s="68"/>
      <x:c r="O64" s="68"/>
      <x:c r="P64" s="68"/>
      <x:c r="Q64" s="68"/>
      <x:c r="R64" s="68"/>
    </x:row>
    <x:row r="65" ht="15" hidden="0" customHeight="1">
      <x:c r="A65" s="68"/>
      <x:c r="B65" s="68"/>
      <x:c r="C65" s="68"/>
      <x:c r="D65" s="68"/>
      <x:c r="E65" s="68"/>
      <x:c r="F65" s="68"/>
      <x:c r="G65" s="68"/>
      <x:c r="H65" s="68"/>
      <x:c r="I65" s="68"/>
      <x:c r="J65" s="68"/>
      <x:c r="K65" s="68"/>
      <x:c r="L65" s="68"/>
      <x:c r="M65" s="68"/>
      <x:c r="N65" s="68"/>
      <x:c r="O65" s="68"/>
      <x:c r="P65" s="68"/>
      <x:c r="Q65" s="68"/>
      <x:c r="R65" s="68"/>
    </x:row>
    <x:row r="66" ht="15" hidden="0" customHeight="1">
      <x:c r="A66" s="68"/>
      <x:c r="B66" s="68"/>
      <x:c r="C66" s="68"/>
      <x:c r="D66" s="68"/>
      <x:c r="E66" s="68"/>
      <x:c r="F66" s="68"/>
      <x:c r="G66" s="68"/>
      <x:c r="H66" s="68"/>
      <x:c r="I66" s="68"/>
      <x:c r="J66" s="68"/>
      <x:c r="K66" s="68"/>
      <x:c r="L66" s="68"/>
      <x:c r="M66" s="68"/>
      <x:c r="N66" s="68"/>
      <x:c r="O66" s="68"/>
      <x:c r="P66" s="68"/>
      <x:c r="Q66" s="68"/>
      <x:c r="R66" s="68"/>
    </x:row>
    <x:row r="67" ht="15" hidden="0" customHeight="1">
      <x:c r="A67" s="68"/>
      <x:c r="B67" s="68"/>
      <x:c r="C67" s="68"/>
      <x:c r="D67" s="68"/>
      <x:c r="E67" s="68"/>
      <x:c r="F67" s="68"/>
      <x:c r="G67" s="68"/>
      <x:c r="H67" s="68"/>
      <x:c r="I67" s="68"/>
      <x:c r="J67" s="68"/>
      <x:c r="K67" s="68"/>
      <x:c r="L67" s="68"/>
      <x:c r="M67" s="68"/>
      <x:c r="N67" s="68"/>
      <x:c r="O67" s="68"/>
      <x:c r="P67" s="68"/>
      <x:c r="Q67" s="68"/>
      <x:c r="R67" s="68"/>
    </x:row>
    <x:row r="68" ht="15" hidden="0" customHeight="1">
      <x:c r="A68" s="68"/>
      <x:c r="B68" s="68"/>
      <x:c r="C68" s="68"/>
      <x:c r="D68" s="68"/>
      <x:c r="E68" s="68"/>
      <x:c r="F68" s="68"/>
      <x:c r="G68" s="68"/>
      <x:c r="H68" s="68"/>
      <x:c r="I68" s="68"/>
      <x:c r="J68" s="68"/>
      <x:c r="K68" s="68"/>
      <x:c r="L68" s="68"/>
      <x:c r="M68" s="68"/>
      <x:c r="N68" s="68"/>
      <x:c r="O68" s="68"/>
      <x:c r="P68" s="68"/>
      <x:c r="Q68" s="68"/>
      <x:c r="R68" s="68"/>
    </x:row>
    <x:row r="69" ht="15" hidden="0" customHeight="1">
      <x:c r="A69" s="68"/>
      <x:c r="B69" s="68"/>
      <x:c r="C69" s="68"/>
      <x:c r="D69" s="68"/>
      <x:c r="E69" s="68"/>
      <x:c r="F69" s="68"/>
      <x:c r="G69" s="68"/>
      <x:c r="H69" s="68"/>
      <x:c r="I69" s="68"/>
      <x:c r="J69" s="68"/>
      <x:c r="K69" s="68"/>
      <x:c r="L69" s="68"/>
      <x:c r="M69" s="68"/>
      <x:c r="N69" s="68"/>
      <x:c r="O69" s="68"/>
      <x:c r="P69" s="68"/>
      <x:c r="Q69" s="68"/>
      <x:c r="R69" s="68"/>
    </x:row>
    <x:row r="70" ht="15" hidden="0" customHeight="1">
      <x:c r="A70" s="68"/>
      <x:c r="B70" s="68"/>
      <x:c r="C70" s="68"/>
      <x:c r="D70" s="68"/>
      <x:c r="E70" s="68"/>
      <x:c r="F70" s="68"/>
      <x:c r="G70" s="68"/>
      <x:c r="H70" s="68"/>
      <x:c r="I70" s="68"/>
      <x:c r="J70" s="68"/>
      <x:c r="K70" s="68"/>
      <x:c r="L70" s="68"/>
      <x:c r="M70" s="68"/>
      <x:c r="N70" s="68"/>
      <x:c r="O70" s="68"/>
      <x:c r="P70" s="68"/>
      <x:c r="Q70" s="68"/>
      <x:c r="R70" s="68"/>
    </x:row>
    <x:row r="71" ht="15" hidden="0" customHeight="1">
      <x:c r="A71" s="68"/>
      <x:c r="B71" s="68"/>
      <x:c r="C71" s="68"/>
      <x:c r="D71" s="68"/>
      <x:c r="E71" s="68"/>
      <x:c r="F71" s="68"/>
      <x:c r="G71" s="68"/>
      <x:c r="H71" s="68"/>
      <x:c r="I71" s="68"/>
      <x:c r="J71" s="68"/>
      <x:c r="K71" s="68"/>
      <x:c r="L71" s="68"/>
      <x:c r="M71" s="68"/>
      <x:c r="N71" s="68"/>
      <x:c r="O71" s="68"/>
      <x:c r="P71" s="68"/>
      <x:c r="Q71" s="68"/>
      <x:c r="R71" s="68"/>
    </x:row>
    <x:row r="72" ht="15" hidden="0" customHeight="1">
      <x:c r="A72" s="68"/>
      <x:c r="B72" s="68"/>
      <x:c r="C72" s="68"/>
      <x:c r="D72" s="68"/>
      <x:c r="E72" s="68"/>
      <x:c r="F72" s="68"/>
      <x:c r="G72" s="68"/>
      <x:c r="H72" s="68"/>
      <x:c r="I72" s="68"/>
      <x:c r="J72" s="68"/>
      <x:c r="K72" s="68"/>
      <x:c r="L72" s="68"/>
      <x:c r="M72" s="68"/>
      <x:c r="N72" s="68"/>
      <x:c r="O72" s="68"/>
      <x:c r="P72" s="68"/>
      <x:c r="Q72" s="68"/>
      <x:c r="R72" s="68"/>
    </x:row>
    <x:row r="73" ht="15" hidden="0" customHeight="1">
      <x:c r="A73" s="68"/>
      <x:c r="B73" s="68"/>
      <x:c r="C73" s="68"/>
      <x:c r="D73" s="68"/>
      <x:c r="E73" s="68"/>
      <x:c r="F73" s="68"/>
      <x:c r="G73" s="68"/>
      <x:c r="H73" s="68"/>
      <x:c r="I73" s="68"/>
      <x:c r="J73" s="68"/>
      <x:c r="K73" s="68"/>
      <x:c r="L73" s="68"/>
      <x:c r="M73" s="68"/>
      <x:c r="N73" s="68"/>
      <x:c r="O73" s="68"/>
      <x:c r="P73" s="68"/>
      <x:c r="Q73" s="68"/>
      <x:c r="R73" s="68"/>
    </x:row>
    <x:row r="74" ht="15" hidden="0" customHeight="1">
      <x:c r="A74" s="68"/>
      <x:c r="B74" s="68"/>
      <x:c r="C74" s="68"/>
      <x:c r="D74" s="68"/>
      <x:c r="E74" s="68"/>
      <x:c r="F74" s="68"/>
      <x:c r="G74" s="68"/>
      <x:c r="H74" s="68"/>
      <x:c r="I74" s="68"/>
      <x:c r="J74" s="68"/>
      <x:c r="K74" s="68"/>
      <x:c r="L74" s="68"/>
      <x:c r="M74" s="68"/>
      <x:c r="N74" s="68"/>
      <x:c r="O74" s="68"/>
      <x:c r="P74" s="68"/>
      <x:c r="Q74" s="68"/>
      <x:c r="R74" s="68"/>
    </x:row>
    <x:row r="75" ht="15" hidden="0" customHeight="1">
      <x:c r="A75" s="68"/>
      <x:c r="B75" s="68"/>
      <x:c r="C75" s="68"/>
      <x:c r="D75" s="68"/>
      <x:c r="E75" s="68"/>
      <x:c r="F75" s="68"/>
      <x:c r="G75" s="68"/>
      <x:c r="H75" s="68"/>
      <x:c r="I75" s="68"/>
      <x:c r="J75" s="68"/>
      <x:c r="K75" s="68"/>
      <x:c r="L75" s="68"/>
      <x:c r="M75" s="68"/>
      <x:c r="N75" s="68"/>
      <x:c r="O75" s="68"/>
      <x:c r="P75" s="68"/>
      <x:c r="Q75" s="68"/>
      <x:c r="R75" s="68"/>
    </x:row>
    <x:row r="76" ht="15" hidden="0" customHeight="1">
      <x:c r="A76" s="68"/>
      <x:c r="B76" s="68"/>
      <x:c r="C76" s="68"/>
      <x:c r="D76" s="68"/>
      <x:c r="E76" s="68"/>
      <x:c r="F76" s="68"/>
      <x:c r="G76" s="68"/>
      <x:c r="H76" s="68"/>
      <x:c r="I76" s="68"/>
      <x:c r="J76" s="68"/>
      <x:c r="K76" s="68"/>
      <x:c r="L76" s="68"/>
      <x:c r="M76" s="68"/>
      <x:c r="N76" s="68"/>
      <x:c r="O76" s="68"/>
      <x:c r="P76" s="68"/>
      <x:c r="Q76" s="68"/>
      <x:c r="R76" s="68"/>
    </x:row>
    <x:row r="77" ht="15" hidden="0" customHeight="1">
      <x:c r="A77" s="68"/>
      <x:c r="B77" s="68"/>
      <x:c r="C77" s="68"/>
      <x:c r="D77" s="68"/>
      <x:c r="E77" s="68"/>
      <x:c r="F77" s="68"/>
      <x:c r="G77" s="68"/>
      <x:c r="H77" s="68"/>
      <x:c r="I77" s="68"/>
      <x:c r="J77" s="68"/>
      <x:c r="K77" s="68"/>
      <x:c r="L77" s="68"/>
      <x:c r="M77" s="68"/>
      <x:c r="N77" s="68"/>
      <x:c r="O77" s="68"/>
      <x:c r="P77" s="68"/>
      <x:c r="Q77" s="68"/>
      <x:c r="R77" s="68"/>
    </x:row>
    <x:row r="78" ht="15" hidden="0" customHeight="1">
      <x:c r="A78" s="68"/>
      <x:c r="B78" s="68"/>
      <x:c r="C78" s="68"/>
      <x:c r="D78" s="68"/>
      <x:c r="E78" s="68"/>
      <x:c r="F78" s="68"/>
      <x:c r="G78" s="68"/>
      <x:c r="H78" s="68"/>
      <x:c r="I78" s="68"/>
      <x:c r="J78" s="68"/>
      <x:c r="K78" s="68"/>
      <x:c r="L78" s="68"/>
      <x:c r="M78" s="68"/>
      <x:c r="N78" s="68"/>
      <x:c r="O78" s="68"/>
      <x:c r="P78" s="68"/>
      <x:c r="Q78" s="68"/>
      <x:c r="R78" s="68"/>
    </x:row>
    <x:row r="79" ht="15" hidden="0" customHeight="1">
      <x:c r="A79" s="68"/>
      <x:c r="B79" s="68"/>
      <x:c r="C79" s="68"/>
      <x:c r="D79" s="68"/>
      <x:c r="E79" s="68"/>
      <x:c r="F79" s="68"/>
      <x:c r="G79" s="68"/>
      <x:c r="H79" s="68"/>
      <x:c r="I79" s="68"/>
      <x:c r="J79" s="68"/>
      <x:c r="K79" s="68"/>
      <x:c r="L79" s="68"/>
      <x:c r="M79" s="68"/>
      <x:c r="N79" s="68"/>
      <x:c r="O79" s="68"/>
      <x:c r="P79" s="68"/>
      <x:c r="Q79" s="68"/>
      <x:c r="R79" s="68"/>
    </x:row>
    <x:row r="80" ht="15" hidden="0" customHeight="1">
      <x:c r="A80" s="68"/>
      <x:c r="B80" s="68"/>
      <x:c r="C80" s="68"/>
      <x:c r="D80" s="68"/>
      <x:c r="E80" s="68"/>
      <x:c r="F80" s="68"/>
      <x:c r="G80" s="68"/>
      <x:c r="H80" s="68"/>
      <x:c r="I80" s="68"/>
      <x:c r="J80" s="68"/>
      <x:c r="K80" s="68"/>
      <x:c r="L80" s="68"/>
      <x:c r="M80" s="68"/>
      <x:c r="N80" s="68"/>
      <x:c r="O80" s="68"/>
      <x:c r="P80" s="68"/>
      <x:c r="Q80" s="68"/>
      <x:c r="R80" s="68"/>
    </x:row>
    <x:row r="81" ht="15" hidden="0" customHeight="1">
      <x:c r="A81" s="68"/>
      <x:c r="B81" s="68"/>
      <x:c r="C81" s="68"/>
      <x:c r="D81" s="68"/>
      <x:c r="E81" s="68"/>
      <x:c r="F81" s="68"/>
      <x:c r="G81" s="68"/>
      <x:c r="H81" s="68"/>
      <x:c r="I81" s="68"/>
      <x:c r="J81" s="68"/>
      <x:c r="K81" s="68"/>
      <x:c r="L81" s="68"/>
      <x:c r="M81" s="68"/>
      <x:c r="N81" s="68"/>
      <x:c r="O81" s="68"/>
      <x:c r="P81" s="68"/>
      <x:c r="Q81" s="68"/>
      <x:c r="R81" s="68"/>
    </x:row>
    <x:row r="82" ht="15" hidden="0" customHeight="1">
      <x:c r="A82" s="68"/>
      <x:c r="B82" s="68"/>
      <x:c r="C82" s="68"/>
      <x:c r="D82" s="68"/>
      <x:c r="E82" s="68"/>
      <x:c r="F82" s="68"/>
      <x:c r="G82" s="68"/>
      <x:c r="H82" s="68"/>
      <x:c r="I82" s="68"/>
      <x:c r="J82" s="68"/>
      <x:c r="K82" s="68"/>
      <x:c r="L82" s="68"/>
      <x:c r="M82" s="68"/>
      <x:c r="N82" s="68"/>
      <x:c r="O82" s="68"/>
      <x:c r="P82" s="68"/>
      <x:c r="Q82" s="68"/>
      <x:c r="R82" s="68"/>
    </x:row>
    <x:row r="83" ht="15" hidden="0" customHeight="1">
      <x:c r="A83" s="68"/>
      <x:c r="B83" s="68"/>
      <x:c r="C83" s="68"/>
      <x:c r="D83" s="68"/>
      <x:c r="E83" s="68"/>
      <x:c r="F83" s="68"/>
      <x:c r="G83" s="68"/>
      <x:c r="H83" s="68"/>
      <x:c r="I83" s="68"/>
      <x:c r="J83" s="68"/>
      <x:c r="K83" s="68"/>
      <x:c r="L83" s="68"/>
      <x:c r="M83" s="68"/>
      <x:c r="N83" s="68"/>
      <x:c r="O83" s="68"/>
      <x:c r="P83" s="68"/>
      <x:c r="Q83" s="68"/>
      <x:c r="R83" s="68"/>
    </x:row>
    <x:row r="84" ht="15" hidden="0" customHeight="1">
      <x:c r="A84" s="68"/>
      <x:c r="B84" s="68"/>
      <x:c r="C84" s="68"/>
      <x:c r="D84" s="68"/>
      <x:c r="E84" s="68"/>
      <x:c r="F84" s="68"/>
      <x:c r="G84" s="68"/>
      <x:c r="H84" s="68"/>
      <x:c r="I84" s="68"/>
      <x:c r="J84" s="68"/>
      <x:c r="K84" s="68"/>
      <x:c r="L84" s="68"/>
      <x:c r="M84" s="68"/>
      <x:c r="N84" s="68"/>
      <x:c r="O84" s="68"/>
      <x:c r="P84" s="68"/>
      <x:c r="Q84" s="68"/>
      <x:c r="R84" s="68"/>
    </x:row>
    <x:row r="85" ht="15" hidden="0" customHeight="1">
      <x:c r="A85" s="68"/>
      <x:c r="B85" s="68"/>
      <x:c r="C85" s="68"/>
      <x:c r="D85" s="68"/>
      <x:c r="E85" s="68"/>
      <x:c r="F85" s="68"/>
      <x:c r="G85" s="68"/>
      <x:c r="H85" s="68"/>
      <x:c r="I85" s="68"/>
      <x:c r="J85" s="68"/>
      <x:c r="K85" s="68"/>
      <x:c r="L85" s="68"/>
      <x:c r="M85" s="68"/>
      <x:c r="N85" s="68"/>
      <x:c r="O85" s="68"/>
      <x:c r="P85" s="68"/>
      <x:c r="Q85" s="68"/>
      <x:c r="R85" s="68"/>
    </x:row>
    <x:row r="86" ht="15" hidden="0" customHeight="1">
      <x:c r="A86" s="68"/>
      <x:c r="B86" s="68"/>
      <x:c r="C86" s="68"/>
      <x:c r="D86" s="68"/>
      <x:c r="E86" s="68"/>
      <x:c r="F86" s="68"/>
      <x:c r="G86" s="68"/>
      <x:c r="H86" s="68"/>
      <x:c r="I86" s="68"/>
      <x:c r="J86" s="68"/>
      <x:c r="K86" s="68"/>
      <x:c r="L86" s="68"/>
      <x:c r="M86" s="68"/>
      <x:c r="N86" s="68"/>
      <x:c r="O86" s="68"/>
      <x:c r="P86" s="68"/>
      <x:c r="Q86" s="68"/>
      <x:c r="R86" s="68"/>
    </x:row>
    <x:row r="87" ht="15" hidden="0" customHeight="1">
      <x:c r="A87" s="68"/>
      <x:c r="B87" s="68"/>
      <x:c r="C87" s="68"/>
      <x:c r="D87" s="68"/>
      <x:c r="E87" s="68"/>
      <x:c r="F87" s="68"/>
      <x:c r="G87" s="68"/>
      <x:c r="H87" s="68"/>
      <x:c r="I87" s="68"/>
      <x:c r="J87" s="68"/>
      <x:c r="K87" s="68"/>
      <x:c r="L87" s="68"/>
      <x:c r="M87" s="68"/>
      <x:c r="N87" s="68"/>
      <x:c r="O87" s="68"/>
      <x:c r="P87" s="68"/>
      <x:c r="Q87" s="68"/>
      <x:c r="R87" s="68"/>
    </x:row>
    <x:row r="88" ht="15" hidden="0" customHeight="1">
      <x:c r="A88" s="68"/>
      <x:c r="B88" s="68"/>
      <x:c r="C88" s="68"/>
      <x:c r="D88" s="68"/>
      <x:c r="E88" s="68"/>
      <x:c r="F88" s="68"/>
      <x:c r="G88" s="68"/>
      <x:c r="H88" s="68"/>
      <x:c r="I88" s="68"/>
      <x:c r="J88" s="68"/>
      <x:c r="K88" s="68"/>
      <x:c r="L88" s="68"/>
      <x:c r="M88" s="68"/>
      <x:c r="N88" s="68"/>
      <x:c r="O88" s="68"/>
      <x:c r="P88" s="68"/>
      <x:c r="Q88" s="68"/>
      <x:c r="R88" s="68"/>
    </x:row>
    <x:row r="89" ht="15" hidden="0" customHeight="1">
      <x:c r="A89" s="68"/>
      <x:c r="B89" s="68"/>
      <x:c r="C89" s="68"/>
      <x:c r="D89" s="68"/>
      <x:c r="E89" s="68"/>
      <x:c r="F89" s="68"/>
      <x:c r="G89" s="68"/>
      <x:c r="H89" s="68"/>
      <x:c r="I89" s="68"/>
      <x:c r="J89" s="68"/>
      <x:c r="K89" s="68"/>
      <x:c r="L89" s="68"/>
      <x:c r="M89" s="68"/>
      <x:c r="N89" s="68"/>
      <x:c r="O89" s="68"/>
      <x:c r="P89" s="68"/>
      <x:c r="Q89" s="68"/>
      <x:c r="R89" s="68"/>
    </x:row>
    <x:row r="90" ht="15" hidden="0" customHeight="1">
      <x:c r="A90" s="68"/>
      <x:c r="B90" s="68"/>
      <x:c r="C90" s="68"/>
      <x:c r="D90" s="68"/>
      <x:c r="E90" s="68"/>
      <x:c r="F90" s="68"/>
      <x:c r="G90" s="68"/>
      <x:c r="H90" s="68"/>
      <x:c r="I90" s="68"/>
      <x:c r="J90" s="68"/>
      <x:c r="K90" s="68"/>
      <x:c r="L90" s="68"/>
      <x:c r="M90" s="68"/>
      <x:c r="N90" s="68"/>
      <x:c r="O90" s="68"/>
      <x:c r="P90" s="68"/>
      <x:c r="Q90" s="68"/>
      <x:c r="R90" s="68"/>
    </x:row>
    <x:row r="91" ht="15" hidden="0" customHeight="1">
      <x:c r="A91" s="68"/>
      <x:c r="B91" s="68"/>
      <x:c r="C91" s="68"/>
      <x:c r="D91" s="68"/>
      <x:c r="E91" s="68"/>
      <x:c r="F91" s="68"/>
      <x:c r="G91" s="68"/>
      <x:c r="H91" s="68"/>
      <x:c r="I91" s="68"/>
      <x:c r="J91" s="68"/>
      <x:c r="K91" s="68"/>
      <x:c r="L91" s="68"/>
      <x:c r="M91" s="68"/>
      <x:c r="N91" s="68"/>
      <x:c r="O91" s="68"/>
      <x:c r="P91" s="68"/>
      <x:c r="Q91" s="68"/>
      <x:c r="R91" s="68"/>
    </x:row>
    <x:row r="92" ht="15" hidden="0" customHeight="1">
      <x:c r="A92" s="68"/>
      <x:c r="B92" s="68"/>
      <x:c r="C92" s="68"/>
      <x:c r="D92" s="68"/>
      <x:c r="E92" s="68"/>
      <x:c r="F92" s="68"/>
      <x:c r="G92" s="68"/>
      <x:c r="H92" s="68"/>
      <x:c r="I92" s="68"/>
      <x:c r="J92" s="68"/>
      <x:c r="K92" s="68"/>
      <x:c r="L92" s="68"/>
      <x:c r="M92" s="68"/>
      <x:c r="N92" s="68"/>
      <x:c r="O92" s="68"/>
      <x:c r="P92" s="68"/>
      <x:c r="Q92" s="68"/>
      <x:c r="R92" s="68"/>
    </x:row>
    <x:row r="93" ht="15" hidden="0" customHeight="1">
      <x:c r="A93" s="68"/>
      <x:c r="B93" s="68"/>
      <x:c r="C93" s="68"/>
      <x:c r="D93" s="68"/>
      <x:c r="E93" s="68"/>
      <x:c r="F93" s="68"/>
      <x:c r="G93" s="68"/>
      <x:c r="H93" s="68"/>
      <x:c r="I93" s="68"/>
      <x:c r="J93" s="68"/>
      <x:c r="K93" s="68"/>
      <x:c r="L93" s="68"/>
      <x:c r="M93" s="68"/>
      <x:c r="N93" s="68"/>
      <x:c r="O93" s="68"/>
      <x:c r="P93" s="68"/>
      <x:c r="Q93" s="68"/>
      <x:c r="R93" s="68"/>
    </x:row>
    <x:row r="94" ht="15" hidden="0" customHeight="1">
      <x:c r="A94" s="68"/>
      <x:c r="B94" s="68"/>
      <x:c r="C94" s="68"/>
      <x:c r="D94" s="68"/>
      <x:c r="E94" s="68"/>
      <x:c r="F94" s="68"/>
      <x:c r="G94" s="68"/>
      <x:c r="H94" s="68"/>
      <x:c r="I94" s="68"/>
      <x:c r="J94" s="68"/>
      <x:c r="K94" s="68"/>
      <x:c r="L94" s="68"/>
      <x:c r="M94" s="68"/>
      <x:c r="N94" s="68"/>
      <x:c r="O94" s="68"/>
      <x:c r="P94" s="68"/>
      <x:c r="Q94" s="68"/>
      <x:c r="R94" s="68"/>
    </x:row>
    <x:row r="95" ht="15" hidden="0" customHeight="1">
      <x:c r="A95" s="68"/>
      <x:c r="B95" s="68"/>
      <x:c r="C95" s="68"/>
      <x:c r="D95" s="68"/>
      <x:c r="E95" s="68"/>
      <x:c r="F95" s="68"/>
      <x:c r="G95" s="68"/>
      <x:c r="H95" s="68"/>
      <x:c r="I95" s="68"/>
      <x:c r="J95" s="68"/>
      <x:c r="K95" s="68"/>
      <x:c r="L95" s="68"/>
      <x:c r="M95" s="68"/>
      <x:c r="N95" s="68"/>
      <x:c r="O95" s="68"/>
      <x:c r="P95" s="68"/>
      <x:c r="Q95" s="68"/>
      <x:c r="R95" s="68"/>
    </x:row>
    <x:row r="96" ht="15" hidden="0" customHeight="1">
      <x:c r="A96" s="68"/>
      <x:c r="B96" s="68"/>
      <x:c r="C96" s="68"/>
      <x:c r="D96" s="68"/>
      <x:c r="E96" s="68"/>
      <x:c r="F96" s="68"/>
      <x:c r="G96" s="68"/>
      <x:c r="H96" s="68"/>
      <x:c r="I96" s="68"/>
      <x:c r="J96" s="68"/>
      <x:c r="K96" s="68"/>
      <x:c r="L96" s="68"/>
      <x:c r="M96" s="68"/>
      <x:c r="N96" s="68"/>
      <x:c r="O96" s="68"/>
      <x:c r="P96" s="68"/>
      <x:c r="Q96" s="68"/>
      <x:c r="R96" s="68"/>
    </x:row>
    <x:row r="97" ht="15" hidden="0" customHeight="1">
      <x:c r="A97" s="68"/>
      <x:c r="B97" s="68"/>
      <x:c r="C97" s="68"/>
      <x:c r="D97" s="68"/>
      <x:c r="E97" s="68"/>
      <x:c r="F97" s="68"/>
      <x:c r="G97" s="68"/>
      <x:c r="H97" s="68"/>
      <x:c r="I97" s="68"/>
      <x:c r="J97" s="68"/>
      <x:c r="K97" s="68"/>
      <x:c r="L97" s="68"/>
      <x:c r="M97" s="68"/>
      <x:c r="N97" s="68"/>
      <x:c r="O97" s="68"/>
      <x:c r="P97" s="68"/>
      <x:c r="Q97" s="68"/>
      <x:c r="R97" s="68"/>
    </x:row>
    <x:row r="98" ht="15" hidden="0" customHeight="1">
      <x:c r="A98" s="68"/>
      <x:c r="B98" s="68"/>
      <x:c r="C98" s="68"/>
      <x:c r="D98" s="68"/>
      <x:c r="E98" s="68"/>
      <x:c r="F98" s="68"/>
      <x:c r="G98" s="68"/>
      <x:c r="H98" s="68"/>
      <x:c r="I98" s="68"/>
      <x:c r="J98" s="68"/>
      <x:c r="K98" s="68"/>
      <x:c r="L98" s="68"/>
      <x:c r="M98" s="68"/>
      <x:c r="N98" s="68"/>
      <x:c r="O98" s="68"/>
      <x:c r="P98" s="68"/>
      <x:c r="Q98" s="68"/>
      <x:c r="R98" s="68"/>
    </x:row>
    <x:row r="99" ht="15" hidden="0" customHeight="1">
      <x:c r="A99" s="68"/>
      <x:c r="B99" s="68"/>
      <x:c r="C99" s="68"/>
      <x:c r="D99" s="68"/>
      <x:c r="E99" s="68"/>
      <x:c r="F99" s="68"/>
      <x:c r="G99" s="68"/>
      <x:c r="H99" s="68"/>
      <x:c r="I99" s="68"/>
      <x:c r="J99" s="68"/>
      <x:c r="K99" s="68"/>
      <x:c r="L99" s="68"/>
      <x:c r="M99" s="68"/>
      <x:c r="N99" s="68"/>
      <x:c r="O99" s="68"/>
      <x:c r="P99" s="68"/>
      <x:c r="Q99" s="68"/>
      <x:c r="R99" s="68"/>
    </x:row>
    <x:row r="100" ht="15" hidden="0" customHeight="1">
      <x:c r="A100" s="68"/>
      <x:c r="B100" s="68"/>
      <x:c r="C100" s="68"/>
      <x:c r="D100" s="68"/>
      <x:c r="E100" s="68"/>
      <x:c r="F100" s="68"/>
      <x:c r="G100" s="68"/>
      <x:c r="H100" s="68"/>
      <x:c r="I100" s="68"/>
      <x:c r="J100" s="68"/>
      <x:c r="K100" s="68"/>
      <x:c r="L100" s="68"/>
      <x:c r="M100" s="68"/>
      <x:c r="N100" s="68"/>
      <x:c r="O100" s="68"/>
      <x:c r="P100" s="68"/>
      <x:c r="Q100" s="68"/>
      <x:c r="R100" s="68"/>
    </x:row>
    <x:row r="101" ht="15" hidden="0" customHeight="1">
      <x:c r="A101" s="68"/>
      <x:c r="B101" s="68"/>
      <x:c r="C101" s="68"/>
      <x:c r="D101" s="68"/>
      <x:c r="E101" s="68"/>
      <x:c r="F101" s="68"/>
      <x:c r="G101" s="68"/>
      <x:c r="H101" s="68"/>
      <x:c r="I101" s="68"/>
      <x:c r="J101" s="68"/>
      <x:c r="K101" s="68"/>
      <x:c r="L101" s="68"/>
      <x:c r="M101" s="68"/>
      <x:c r="N101" s="68"/>
      <x:c r="O101" s="68"/>
      <x:c r="P101" s="68"/>
      <x:c r="Q101" s="68"/>
      <x:c r="R101" s="68"/>
    </x:row>
    <x:row r="102" ht="15" hidden="0" customHeight="1">
      <x:c r="A102" s="68"/>
      <x:c r="B102" s="68"/>
      <x:c r="C102" s="68"/>
      <x:c r="D102" s="68"/>
      <x:c r="E102" s="68"/>
      <x:c r="F102" s="68"/>
      <x:c r="G102" s="68"/>
      <x:c r="H102" s="68"/>
      <x:c r="I102" s="68"/>
      <x:c r="J102" s="68"/>
      <x:c r="K102" s="68"/>
      <x:c r="L102" s="68"/>
      <x:c r="M102" s="68"/>
      <x:c r="N102" s="68"/>
      <x:c r="O102" s="68"/>
      <x:c r="P102" s="68"/>
      <x:c r="Q102" s="68"/>
      <x:c r="R102" s="68"/>
    </x:row>
    <x:row r="103" ht="15" hidden="0" customHeight="1">
      <x:c r="A103" s="68"/>
      <x:c r="B103" s="68"/>
      <x:c r="C103" s="68"/>
      <x:c r="D103" s="68"/>
      <x:c r="E103" s="68"/>
      <x:c r="F103" s="68"/>
      <x:c r="G103" s="68"/>
      <x:c r="H103" s="68"/>
      <x:c r="I103" s="68"/>
      <x:c r="J103" s="68"/>
      <x:c r="K103" s="68"/>
      <x:c r="L103" s="68"/>
      <x:c r="M103" s="68"/>
      <x:c r="N103" s="68"/>
      <x:c r="O103" s="68"/>
      <x:c r="P103" s="68"/>
      <x:c r="Q103" s="68"/>
      <x:c r="R103" s="68"/>
    </x:row>
    <x:row r="104" ht="15" hidden="0" customHeight="1">
      <x:c r="A104" s="68"/>
      <x:c r="B104" s="68"/>
      <x:c r="C104" s="68"/>
      <x:c r="D104" s="68"/>
      <x:c r="E104" s="68"/>
      <x:c r="F104" s="68"/>
      <x:c r="G104" s="68"/>
      <x:c r="H104" s="68"/>
      <x:c r="I104" s="68"/>
      <x:c r="J104" s="68"/>
      <x:c r="K104" s="68"/>
      <x:c r="L104" s="68"/>
      <x:c r="M104" s="68"/>
      <x:c r="N104" s="68"/>
      <x:c r="O104" s="68"/>
      <x:c r="P104" s="68"/>
      <x:c r="Q104" s="68"/>
      <x:c r="R104" s="68"/>
    </x:row>
    <x:row r="105" ht="15" hidden="0" customHeight="1">
      <x:c r="A105" s="68"/>
      <x:c r="B105" s="68"/>
      <x:c r="C105" s="68"/>
      <x:c r="D105" s="68"/>
      <x:c r="E105" s="68"/>
      <x:c r="F105" s="68"/>
      <x:c r="G105" s="68"/>
      <x:c r="H105" s="68"/>
      <x:c r="I105" s="68"/>
      <x:c r="J105" s="68"/>
      <x:c r="K105" s="68"/>
      <x:c r="L105" s="68"/>
      <x:c r="M105" s="68"/>
      <x:c r="N105" s="68"/>
      <x:c r="O105" s="68"/>
      <x:c r="P105" s="68"/>
      <x:c r="Q105" s="68"/>
      <x:c r="R105" s="68"/>
    </x:row>
    <x:row r="106" ht="15" hidden="0" customHeight="1">
      <x:c r="A106" s="68"/>
      <x:c r="B106" s="68"/>
      <x:c r="C106" s="68"/>
      <x:c r="D106" s="68"/>
      <x:c r="E106" s="68"/>
      <x:c r="F106" s="68"/>
      <x:c r="G106" s="68"/>
      <x:c r="H106" s="68"/>
      <x:c r="I106" s="68"/>
      <x:c r="J106" s="68"/>
      <x:c r="K106" s="68"/>
      <x:c r="L106" s="68"/>
      <x:c r="M106" s="68"/>
      <x:c r="N106" s="68"/>
      <x:c r="O106" s="68"/>
      <x:c r="P106" s="68"/>
      <x:c r="Q106" s="68"/>
      <x:c r="R106" s="68"/>
    </x:row>
    <x:row r="107" ht="15" hidden="0" customHeight="1">
      <x:c r="A107" s="68"/>
      <x:c r="B107" s="68"/>
      <x:c r="C107" s="68"/>
      <x:c r="D107" s="68"/>
      <x:c r="E107" s="68"/>
      <x:c r="F107" s="68"/>
      <x:c r="G107" s="68"/>
      <x:c r="H107" s="68"/>
      <x:c r="I107" s="68"/>
      <x:c r="J107" s="68"/>
      <x:c r="K107" s="68"/>
      <x:c r="L107" s="68"/>
      <x:c r="M107" s="68"/>
      <x:c r="N107" s="68"/>
      <x:c r="O107" s="68"/>
      <x:c r="P107" s="68"/>
      <x:c r="Q107" s="68"/>
      <x:c r="R107" s="68"/>
    </x:row>
    <x:row r="108" ht="15" hidden="0" customHeight="1">
      <x:c r="A108" s="68"/>
      <x:c r="B108" s="68"/>
      <x:c r="C108" s="68"/>
      <x:c r="D108" s="68"/>
      <x:c r="E108" s="68"/>
      <x:c r="F108" s="68"/>
      <x:c r="G108" s="68"/>
      <x:c r="H108" s="68"/>
      <x:c r="I108" s="68"/>
      <x:c r="J108" s="68"/>
      <x:c r="K108" s="68"/>
      <x:c r="L108" s="68"/>
      <x:c r="M108" s="68"/>
      <x:c r="N108" s="68"/>
      <x:c r="O108" s="68"/>
      <x:c r="P108" s="68"/>
      <x:c r="Q108" s="68"/>
      <x:c r="R108" s="68"/>
    </x:row>
    <x:row r="109" ht="15" hidden="0" customHeight="1">
      <x:c r="A109" s="68"/>
      <x:c r="B109" s="68"/>
      <x:c r="C109" s="68"/>
      <x:c r="D109" s="68"/>
      <x:c r="E109" s="68"/>
      <x:c r="F109" s="68"/>
      <x:c r="G109" s="68"/>
      <x:c r="H109" s="68"/>
      <x:c r="I109" s="68"/>
      <x:c r="J109" s="68"/>
      <x:c r="K109" s="68"/>
      <x:c r="L109" s="68"/>
      <x:c r="M109" s="68"/>
      <x:c r="N109" s="68"/>
      <x:c r="O109" s="68"/>
      <x:c r="P109" s="68"/>
      <x:c r="Q109" s="68"/>
      <x:c r="R109" s="68"/>
    </x:row>
    <x:row r="110" ht="15" hidden="0" customHeight="1">
      <x:c r="A110" s="68"/>
      <x:c r="B110" s="68"/>
      <x:c r="C110" s="68"/>
      <x:c r="D110" s="68"/>
      <x:c r="E110" s="68"/>
      <x:c r="F110" s="68"/>
      <x:c r="G110" s="68"/>
      <x:c r="H110" s="68"/>
      <x:c r="I110" s="68"/>
      <x:c r="J110" s="68"/>
      <x:c r="K110" s="68"/>
      <x:c r="L110" s="68"/>
      <x:c r="M110" s="68"/>
      <x:c r="N110" s="68"/>
      <x:c r="O110" s="68"/>
      <x:c r="P110" s="68"/>
      <x:c r="Q110" s="68"/>
      <x:c r="R110" s="68"/>
    </x:row>
    <x:row r="111" ht="15" hidden="0" customHeight="1">
      <x:c r="A111" s="68"/>
      <x:c r="B111" s="68"/>
      <x:c r="C111" s="68"/>
      <x:c r="D111" s="68"/>
      <x:c r="E111" s="68"/>
      <x:c r="F111" s="68"/>
      <x:c r="G111" s="68"/>
      <x:c r="H111" s="68"/>
      <x:c r="I111" s="68"/>
      <x:c r="J111" s="68"/>
      <x:c r="K111" s="68"/>
      <x:c r="L111" s="68"/>
      <x:c r="M111" s="68"/>
      <x:c r="N111" s="68"/>
      <x:c r="O111" s="68"/>
      <x:c r="P111" s="68"/>
      <x:c r="Q111" s="68"/>
      <x:c r="R111" s="68"/>
    </x:row>
    <x:row r="112" ht="15" hidden="0" customHeight="1">
      <x:c r="A112" s="68"/>
      <x:c r="B112" s="68"/>
      <x:c r="C112" s="68"/>
      <x:c r="D112" s="68"/>
      <x:c r="E112" s="68"/>
      <x:c r="F112" s="68"/>
      <x:c r="G112" s="68"/>
      <x:c r="H112" s="68"/>
      <x:c r="I112" s="68"/>
      <x:c r="J112" s="68"/>
      <x:c r="K112" s="68"/>
      <x:c r="L112" s="68"/>
      <x:c r="M112" s="68"/>
      <x:c r="N112" s="68"/>
      <x:c r="O112" s="68"/>
      <x:c r="P112" s="68"/>
      <x:c r="Q112" s="68"/>
      <x:c r="R112" s="68"/>
    </x:row>
    <x:row r="113" ht="15" hidden="0" customHeight="1">
      <x:c r="A113" s="68"/>
      <x:c r="B113" s="68"/>
      <x:c r="C113" s="68"/>
      <x:c r="D113" s="68"/>
      <x:c r="E113" s="68"/>
      <x:c r="F113" s="68"/>
      <x:c r="G113" s="68"/>
      <x:c r="H113" s="68"/>
      <x:c r="I113" s="68"/>
      <x:c r="J113" s="68"/>
      <x:c r="K113" s="68"/>
      <x:c r="L113" s="68"/>
      <x:c r="M113" s="68"/>
      <x:c r="N113" s="68"/>
      <x:c r="O113" s="68"/>
      <x:c r="P113" s="68"/>
      <x:c r="Q113" s="68"/>
      <x:c r="R113" s="68"/>
    </x:row>
    <x:row r="114" ht="15" hidden="0" customHeight="1">
      <x:c r="A114" s="68"/>
      <x:c r="B114" s="68"/>
      <x:c r="C114" s="68"/>
      <x:c r="D114" s="68"/>
      <x:c r="E114" s="68"/>
      <x:c r="F114" s="68"/>
      <x:c r="G114" s="68"/>
      <x:c r="H114" s="68"/>
      <x:c r="I114" s="68"/>
      <x:c r="J114" s="68"/>
      <x:c r="K114" s="68"/>
      <x:c r="L114" s="68"/>
      <x:c r="M114" s="68"/>
      <x:c r="N114" s="68"/>
      <x:c r="O114" s="68"/>
      <x:c r="P114" s="68"/>
      <x:c r="Q114" s="68"/>
      <x:c r="R114" s="68"/>
    </x:row>
    <x:row r="115" ht="15" hidden="0" customHeight="1">
      <x:c r="A115" s="68"/>
      <x:c r="B115" s="68"/>
      <x:c r="C115" s="68"/>
      <x:c r="D115" s="68"/>
      <x:c r="E115" s="68"/>
      <x:c r="F115" s="68"/>
      <x:c r="G115" s="68"/>
      <x:c r="H115" s="68"/>
      <x:c r="I115" s="68"/>
      <x:c r="J115" s="68"/>
      <x:c r="K115" s="68"/>
      <x:c r="L115" s="68"/>
      <x:c r="M115" s="68"/>
      <x:c r="N115" s="68"/>
      <x:c r="O115" s="68"/>
      <x:c r="P115" s="68"/>
      <x:c r="Q115" s="68"/>
      <x:c r="R115" s="68"/>
    </x:row>
    <x:row r="116" ht="15" hidden="0" customHeight="1">
      <x:c r="A116" s="68"/>
      <x:c r="B116" s="68"/>
      <x:c r="C116" s="68"/>
      <x:c r="D116" s="68"/>
      <x:c r="E116" s="68"/>
      <x:c r="F116" s="68"/>
      <x:c r="G116" s="68"/>
      <x:c r="H116" s="68"/>
      <x:c r="I116" s="68"/>
      <x:c r="J116" s="68"/>
      <x:c r="K116" s="68"/>
      <x:c r="L116" s="68"/>
      <x:c r="M116" s="68"/>
      <x:c r="N116" s="68"/>
      <x:c r="O116" s="68"/>
      <x:c r="P116" s="68"/>
      <x:c r="Q116" s="68"/>
      <x:c r="R116" s="68"/>
    </x:row>
    <x:row r="117" ht="15" hidden="0" customHeight="1">
      <x:c r="A117" s="68"/>
      <x:c r="B117" s="68"/>
      <x:c r="C117" s="68"/>
      <x:c r="D117" s="68"/>
      <x:c r="E117" s="68"/>
      <x:c r="F117" s="68"/>
      <x:c r="G117" s="68"/>
      <x:c r="H117" s="68"/>
      <x:c r="I117" s="68"/>
      <x:c r="J117" s="68"/>
      <x:c r="K117" s="68"/>
      <x:c r="L117" s="68"/>
      <x:c r="M117" s="68"/>
      <x:c r="N117" s="68"/>
      <x:c r="O117" s="68"/>
      <x:c r="P117" s="68"/>
      <x:c r="Q117" s="68"/>
      <x:c r="R117" s="68"/>
    </x:row>
    <x:row r="118" ht="15" hidden="0" customHeight="1">
      <x:c r="A118" s="68"/>
      <x:c r="B118" s="68"/>
      <x:c r="C118" s="68"/>
      <x:c r="D118" s="68"/>
      <x:c r="E118" s="68"/>
      <x:c r="F118" s="68"/>
      <x:c r="G118" s="68"/>
      <x:c r="H118" s="68"/>
      <x:c r="I118" s="68"/>
      <x:c r="J118" s="68"/>
      <x:c r="K118" s="68"/>
      <x:c r="L118" s="68"/>
      <x:c r="M118" s="68"/>
      <x:c r="N118" s="68"/>
      <x:c r="O118" s="68"/>
      <x:c r="P118" s="68"/>
      <x:c r="Q118" s="68"/>
      <x:c r="R118" s="68"/>
    </x:row>
    <x:row r="119" ht="15" hidden="0" customHeight="1">
      <x:c r="A119" s="68"/>
      <x:c r="B119" s="68"/>
      <x:c r="C119" s="68"/>
      <x:c r="D119" s="68"/>
      <x:c r="E119" s="68"/>
      <x:c r="F119" s="68"/>
      <x:c r="G119" s="68"/>
      <x:c r="H119" s="68"/>
      <x:c r="I119" s="68"/>
      <x:c r="J119" s="68"/>
      <x:c r="K119" s="68"/>
      <x:c r="L119" s="68"/>
      <x:c r="M119" s="68"/>
      <x:c r="N119" s="68"/>
      <x:c r="O119" s="68"/>
      <x:c r="P119" s="68"/>
      <x:c r="Q119" s="68"/>
      <x:c r="R119" s="68"/>
    </x:row>
    <x:row r="120" ht="15" hidden="0" customHeight="1">
      <x:c r="A120" s="68"/>
      <x:c r="B120" s="68"/>
      <x:c r="C120" s="68"/>
      <x:c r="D120" s="68"/>
      <x:c r="E120" s="68"/>
      <x:c r="F120" s="68"/>
      <x:c r="G120" s="68"/>
      <x:c r="H120" s="68"/>
      <x:c r="I120" s="68"/>
      <x:c r="J120" s="68"/>
      <x:c r="K120" s="68"/>
      <x:c r="L120" s="68"/>
      <x:c r="M120" s="68"/>
      <x:c r="N120" s="68"/>
      <x:c r="O120" s="68"/>
      <x:c r="P120" s="68"/>
      <x:c r="Q120" s="68"/>
      <x:c r="R120" s="68"/>
    </x:row>
  </x:sheetData>
  <x:mergeCells>
    <x:mergeCell ref="C2:R2"/>
    <x:mergeCell ref="C3:R3"/>
    <x:mergeCell ref="C8:H8"/>
    <x:mergeCell ref="C19:F19"/>
    <x:mergeCell ref="C58:R58"/>
  </x:mergeCells>
  <x:dataValidations count="1">
    <x:dataValidation type="list" sqref="D6">
      <x:formula1>"Downside,Base,Upside"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30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20" hidden="0" customWidth="1"/>
    <x:col min="13" max="13" width="52" hidden="0" customWidth="1"/>
  </x:cols>
  <x:sheetData>
    <x:row r="1" ht="15" hidden="0" customHeight="1">
      <x:c r="A1" s="68"/>
      <x:c r="B1" s="68"/>
      <x:c r="C1" s="68"/>
      <x:c r="D1" s="68"/>
      <x:c r="E1" s="68"/>
      <x:c r="F1" s="68"/>
      <x:c r="G1" s="68"/>
      <x:c r="H1" s="68"/>
      <x:c r="I1" s="68"/>
      <x:c r="J1" s="68"/>
      <x:c r="K1" s="68"/>
      <x:c r="L1" s="68"/>
      <x:c r="M1" s="68"/>
      <x:c r="N1" s="68"/>
      <x:c r="O1" s="68"/>
      <x:c r="P1" s="68"/>
      <x:c r="Q1" s="68"/>
      <x:c r="R1" s="68"/>
    </x:row>
    <x:row r="2" ht="24" hidden="0" customHeight="1">
      <x:c r="A2" s="68"/>
      <x:c r="B2" s="68"/>
      <x:c r="C2" s="69" t="str">
        <x:v>Stage 1 Attraction Program</x:v>
      </x:c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</x:row>
    <x:row r="3" ht="24" hidden="0" customHeight="1">
      <x:c r="A3" s="68"/>
      <x:c r="B3" s="68"/>
      <x:c r="C3" s="71" t="str">
        <x:v>Minimum productive scale and visitor capacity. Rupiah amounts display in billions.</x:v>
      </x:c>
      <x:c r="D3" s="68"/>
      <x:c r="E3" s="68"/>
      <x:c r="F3" s="68"/>
      <x:c r="G3" s="68"/>
      <x:c r="H3" s="68"/>
      <x:c r="I3" s="68"/>
      <x:c r="J3" s="68"/>
      <x:c r="K3" s="68"/>
      <x:c r="L3" s="68"/>
      <x:c r="M3" s="68"/>
      <x:c r="N3" s="68"/>
      <x:c r="O3" s="68"/>
      <x:c r="P3" s="68"/>
      <x:c r="Q3" s="68"/>
      <x:c r="R3" s="68"/>
    </x:row>
    <x:row r="4" ht="15" hidden="0" customHeight="1">
      <x:c r="A4" s="68"/>
      <x:c r="B4" s="68"/>
      <x:c r="C4" s="68"/>
      <x:c r="D4" s="68"/>
      <x:c r="E4" s="68"/>
      <x:c r="F4" s="68"/>
      <x:c r="G4" s="68"/>
      <x:c r="H4" s="68"/>
      <x:c r="I4" s="68"/>
      <x:c r="J4" s="68"/>
      <x:c r="K4" s="68"/>
      <x:c r="L4" s="68"/>
      <x:c r="M4" s="68"/>
      <x:c r="N4" s="68"/>
      <x:c r="O4" s="68"/>
      <x:c r="P4" s="68"/>
      <x:c r="Q4" s="68"/>
      <x:c r="R4" s="68"/>
    </x:row>
    <x:row r="5" ht="15" hidden="0" customHeight="1">
      <x:c r="A5" s="68"/>
      <x:c r="B5" s="68"/>
      <x:c r="C5" s="11" t="str">
        <x:v>Site Investment and Operating Assumptions</x:v>
      </x:c>
      <x:c r="D5" s="12"/>
      <x:c r="E5" s="12"/>
      <x:c r="F5" s="12"/>
      <x:c r="G5" s="12"/>
      <x:c r="H5" s="12"/>
      <x:c r="I5" s="12"/>
      <x:c r="J5" s="12"/>
      <x:c r="K5" s="12"/>
      <x:c r="L5" s="12"/>
      <x:c r="M5" s="13"/>
      <x:c r="N5" s="68"/>
      <x:c r="O5" s="68"/>
      <x:c r="P5" s="68"/>
      <x:c r="Q5" s="68"/>
      <x:c r="R5" s="68"/>
    </x:row>
    <x:row r="6" ht="21.600000381469727" hidden="0" customHeight="1">
      <x:c r="A6" s="68"/>
      <x:c r="B6" s="68"/>
      <x:c r="C6" s="19" t="str">
        <x:v>Attraction</x:v>
      </x:c>
      <x:c r="D6" s="19" t="str">
        <x:v>Land (ha)</x:v>
      </x:c>
      <x:c r="E6" s="19" t="str">
        <x:v>Land value</x:v>
      </x:c>
      <x:c r="F6" s="19" t="str">
        <x:v>Cash CAPEX</x:v>
      </x:c>
      <x:c r="G6" s="19" t="str">
        <x:v>Capacity / day</x:v>
      </x:c>
      <x:c r="H6" s="19" t="str">
        <x:v>External product sales</x:v>
      </x:c>
      <x:c r="I6" s="19" t="str">
        <x:v>Product EBITDA margin</x:v>
      </x:c>
      <x:c r="J6" s="19" t="str">
        <x:v>Fixed OPEX Y1</x:v>
      </x:c>
      <x:c r="K6" s="19" t="str">
        <x:v>Product EBITDA</x:v>
      </x:c>
      <x:c r="L6" s="19" t="str">
        <x:v>Source status</x:v>
      </x:c>
      <x:c r="M6" s="19" t="str">
        <x:v>Notes</x:v>
      </x:c>
      <x:c r="N6" s="68"/>
      <x:c r="O6" s="68"/>
      <x:c r="P6" s="68"/>
      <x:c r="Q6" s="68"/>
      <x:c r="R6" s="68"/>
    </x:row>
    <x:row r="7" ht="24" hidden="0" customHeight="1">
      <x:c r="A7" s="68"/>
      <x:c r="B7" s="68"/>
      <x:c r="C7" s="93" t="str">
        <x:v>Kebun Alpukat Edukatif</x:v>
      </x:c>
      <x:c r="D7" s="94" t="n">
        <x:v>2</x:v>
      </x:c>
      <x:c r="E7" s="95" t="n">
        <x:f>D7*10000*'Assumptions'!$D$43</x:f>
        <x:v>10000000000</x:v>
      </x:c>
      <x:c r="F7" s="96" t="n">
        <x:v>4000000000</x:v>
      </x:c>
      <x:c r="G7" s="94" t="n">
        <x:v>200</x:v>
      </x:c>
      <x:c r="H7" s="96"/>
      <x:c r="I7" s="97"/>
      <x:c r="J7" s="96" t="n">
        <x:v>500000000</x:v>
      </x:c>
      <x:c r="K7" s="95" t="n">
        <x:f>0</x:f>
        <x:v>0</x:v>
      </x:c>
      <x:c r="L7" s="93" t="str">
        <x:v>Operator model</x:v>
      </x:c>
      <x:c r="M7" s="93" t="str">
        <x:v>Produktivitas memakai referensi model alpukat, jambu air, dan salak 1 ha yang diberikan pengguna.</x:v>
      </x:c>
      <x:c r="N7" s="68"/>
      <x:c r="O7" s="68"/>
      <x:c r="P7" s="68"/>
      <x:c r="Q7" s="68"/>
      <x:c r="R7" s="68"/>
    </x:row>
    <x:row r="8" ht="15" hidden="0" customHeight="1">
      <x:c r="A8" s="68"/>
      <x:c r="B8" s="68"/>
      <x:c r="C8" s="93" t="str">
        <x:v>Lebah dan Produk Madu</x:v>
      </x:c>
      <x:c r="D8" s="94" t="n">
        <x:v>0.75</x:v>
      </x:c>
      <x:c r="E8" s="95" t="n">
        <x:f>D8*10000*'Assumptions'!$D$43</x:f>
        <x:v>3750000000</x:v>
      </x:c>
      <x:c r="F8" s="96" t="n">
        <x:v>2500000000</x:v>
      </x:c>
      <x:c r="G8" s="94" t="n">
        <x:v>200</x:v>
      </x:c>
      <x:c r="H8" s="96" t="n">
        <x:v>1200000000</x:v>
      </x:c>
      <x:c r="I8" s="97" t="n">
        <x:v>0.3</x:v>
      </x:c>
      <x:c r="J8" s="96" t="n">
        <x:v>350000000</x:v>
      </x:c>
      <x:c r="K8" s="95" t="n">
        <x:f>H8*I8</x:f>
        <x:v>360000000</x:v>
      </x:c>
      <x:c r="L8" s="93" t="str">
        <x:v>Management assumption</x:v>
      </x:c>
      <x:c r="M8" s="93" t="str">
        <x:v>Asumsi manajemen awal; perlu penawaran operator.</x:v>
      </x:c>
      <x:c r="N8" s="68"/>
      <x:c r="O8" s="68"/>
      <x:c r="P8" s="68"/>
      <x:c r="Q8" s="68"/>
      <x:c r="R8" s="68"/>
    </x:row>
    <x:row r="9" ht="24" hidden="0" customHeight="1">
      <x:c r="A9" s="68"/>
      <x:c r="B9" s="68"/>
      <x:c r="C9" s="93" t="str">
        <x:v>Peternakan Ayam Edukatif</x:v>
      </x:c>
      <x:c r="D9" s="94" t="n">
        <x:v>1</x:v>
      </x:c>
      <x:c r="E9" s="95" t="n">
        <x:f>D9*10000*'Assumptions'!$D$43</x:f>
        <x:v>5000000000</x:v>
      </x:c>
      <x:c r="F9" s="96" t="n">
        <x:v>3500000000</x:v>
      </x:c>
      <x:c r="G9" s="94" t="n">
        <x:v>200</x:v>
      </x:c>
      <x:c r="H9" s="96" t="n">
        <x:v>3000000000</x:v>
      </x:c>
      <x:c r="I9" s="97" t="n">
        <x:v>0.18</x:v>
      </x:c>
      <x:c r="J9" s="96" t="n">
        <x:v>500000000</x:v>
      </x:c>
      <x:c r="K9" s="95" t="n">
        <x:f>H9*I9</x:f>
        <x:v>540000000</x:v>
      </x:c>
      <x:c r="L9" s="93" t="str">
        <x:v>Management assumption</x:v>
      </x:c>
      <x:c r="M9" s="93" t="str">
        <x:v>Skala ternak dibatasi kebutuhan display, biosecurity, dan swasembada operasi.</x:v>
      </x:c>
      <x:c r="N9" s="68"/>
      <x:c r="O9" s="68"/>
      <x:c r="P9" s="68"/>
      <x:c r="Q9" s="68"/>
      <x:c r="R9" s="68"/>
    </x:row>
    <x:row r="10" ht="24" hidden="0" customHeight="1">
      <x:c r="A10" s="68"/>
      <x:c r="B10" s="68"/>
      <x:c r="C10" s="93" t="str">
        <x:v>Kopi, Nursery dan Roastery</x:v>
      </x:c>
      <x:c r="D10" s="94" t="n">
        <x:v>0.75</x:v>
      </x:c>
      <x:c r="E10" s="95" t="n">
        <x:f>D10*10000*'Assumptions'!$D$43</x:f>
        <x:v>3750000000</x:v>
      </x:c>
      <x:c r="F10" s="96" t="n">
        <x:v>3500000000</x:v>
      </x:c>
      <x:c r="G10" s="94" t="n">
        <x:v>200</x:v>
      </x:c>
      <x:c r="H10" s="96" t="n">
        <x:v>3500000000</x:v>
      </x:c>
      <x:c r="I10" s="97" t="n">
        <x:v>0.22</x:v>
      </x:c>
      <x:c r="J10" s="96" t="n">
        <x:v>550000000</x:v>
      </x:c>
      <x:c r="K10" s="95" t="n">
        <x:f>H10*I10</x:f>
        <x:v>770000000</x:v>
      </x:c>
      <x:c r="L10" s="93" t="str">
        <x:v>Management assumption</x:v>
      </x:c>
      <x:c r="M10" s="93" t="str">
        <x:v>Fokus nursery, pascapanen, roasting, kelas seduh, dan produk untuk pasar Jakarta.</x:v>
      </x:c>
      <x:c r="N10" s="68"/>
      <x:c r="O10" s="68"/>
      <x:c r="P10" s="68"/>
      <x:c r="Q10" s="68"/>
      <x:c r="R10" s="68"/>
    </x:row>
    <x:row r="11" ht="24" hidden="0" customHeight="1">
      <x:c r="A11" s="68"/>
      <x:c r="B11" s="68"/>
      <x:c r="C11" s="93" t="str">
        <x:v>Kampung Batik</x:v>
      </x:c>
      <x:c r="D11" s="94" t="n">
        <x:v>0.5</x:v>
      </x:c>
      <x:c r="E11" s="95" t="n">
        <x:f>D11*10000*'Assumptions'!$D$43</x:f>
        <x:v>2500000000</x:v>
      </x:c>
      <x:c r="F11" s="96" t="n">
        <x:v>2000000000</x:v>
      </x:c>
      <x:c r="G11" s="94" t="n">
        <x:v>200</x:v>
      </x:c>
      <x:c r="H11" s="96" t="n">
        <x:v>1200000000</x:v>
      </x:c>
      <x:c r="I11" s="97" t="n">
        <x:v>0.25</x:v>
      </x:c>
      <x:c r="J11" s="96" t="n">
        <x:v>300000000</x:v>
      </x:c>
      <x:c r="K11" s="95" t="n">
        <x:f>H11*I11</x:f>
        <x:v>300000000</x:v>
      </x:c>
      <x:c r="L11" s="93" t="str">
        <x:v>Management assumption</x:v>
      </x:c>
      <x:c r="M11" s="93" t="str">
        <x:v>Asumsi manajemen awal; perlu kemitraan perajin dan kanal penjualan.</x:v>
      </x:c>
      <x:c r="N11" s="68"/>
      <x:c r="O11" s="68"/>
      <x:c r="P11" s="68"/>
      <x:c r="Q11" s="68"/>
      <x:c r="R11" s="68"/>
    </x:row>
    <x:row r="12" ht="15" hidden="0" customHeight="1">
      <x:c r="A12" s="68"/>
      <x:c r="B12" s="68"/>
      <x:c r="C12" s="93" t="str">
        <x:v>Studio Gerabah</x:v>
      </x:c>
      <x:c r="D12" s="94" t="n">
        <x:v>0.5</x:v>
      </x:c>
      <x:c r="E12" s="95" t="n">
        <x:f>D12*10000*'Assumptions'!$D$43</x:f>
        <x:v>2500000000</x:v>
      </x:c>
      <x:c r="F12" s="96" t="n">
        <x:v>2000000000</x:v>
      </x:c>
      <x:c r="G12" s="94" t="n">
        <x:v>200</x:v>
      </x:c>
      <x:c r="H12" s="96" t="n">
        <x:v>1200000000</x:v>
      </x:c>
      <x:c r="I12" s="97" t="n">
        <x:v>0.25</x:v>
      </x:c>
      <x:c r="J12" s="96" t="n">
        <x:v>300000000</x:v>
      </x:c>
      <x:c r="K12" s="95" t="n">
        <x:f>H12*I12</x:f>
        <x:v>300000000</x:v>
      </x:c>
      <x:c r="L12" s="93" t="str">
        <x:v>Management assumption</x:v>
      </x:c>
      <x:c r="M12" s="93" t="str">
        <x:v>Asumsi manajemen awal; perlu validasi bahan baku dan operator.</x:v>
      </x:c>
      <x:c r="N12" s="68"/>
      <x:c r="O12" s="68"/>
      <x:c r="P12" s="68"/>
      <x:c r="Q12" s="68"/>
      <x:c r="R12" s="68"/>
    </x:row>
    <x:row r="13" ht="24" hidden="0" customHeight="1">
      <x:c r="A13" s="68"/>
      <x:c r="B13" s="68"/>
      <x:c r="C13" s="93" t="str">
        <x:v>Infrastruktur Bersama</x:v>
      </x:c>
      <x:c r="D13" s="94" t="n">
        <x:v>1</x:v>
      </x:c>
      <x:c r="E13" s="95" t="n">
        <x:f>D13*10000*'Assumptions'!$D$43</x:f>
        <x:v>5000000000</x:v>
      </x:c>
      <x:c r="F13" s="96" t="n">
        <x:v>8500000000</x:v>
      </x:c>
      <x:c r="G13" s="94"/>
      <x:c r="H13" s="96" t="n">
        <x:v>0</x:v>
      </x:c>
      <x:c r="I13" s="97" t="n">
        <x:v>0</x:v>
      </x:c>
      <x:c r="J13" s="96" t="n">
        <x:v>1500000000</x:v>
      </x:c>
      <x:c r="K13" s="95" t="n">
        <x:f>H13*I13</x:f>
        <x:v>0</x:v>
      </x:c>
      <x:c r="L13" s="93" t="str">
        <x:v>Shared plan</x:v>
      </x:c>
      <x:c r="M13" s="93" t="str">
        <x:v>Arrival hub, kendaraan internal, sanitasi, utilitas, ruang briefing, keselamatan, dan wayfinding.</x:v>
      </x:c>
      <x:c r="N13" s="68"/>
      <x:c r="O13" s="68"/>
      <x:c r="P13" s="68"/>
      <x:c r="Q13" s="68"/>
      <x:c r="R13" s="68"/>
    </x:row>
    <x:row r="14" ht="15" hidden="0" customHeight="1">
      <x:c r="A14" s="68"/>
      <x:c r="B14" s="68"/>
      <x:c r="C14" s="98" t="str">
        <x:v>Total</x:v>
      </x:c>
      <x:c r="D14" s="98" t="n">
        <x:f>SUM(D7:D13)</x:f>
        <x:v>6.5</x:v>
      </x:c>
      <x:c r="E14" s="99" t="n">
        <x:f>SUM(E7:E13)</x:f>
        <x:v>32500000000</x:v>
      </x:c>
      <x:c r="F14" s="99" t="n">
        <x:f>SUM(F7:F13)</x:f>
        <x:v>26000000000</x:v>
      </x:c>
      <x:c r="G14" s="98"/>
      <x:c r="H14" s="99" t="n">
        <x:f>SUM(H7:H13)</x:f>
        <x:v>10100000000</x:v>
      </x:c>
      <x:c r="I14" s="100"/>
      <x:c r="J14" s="99" t="n">
        <x:f>SUM(J7:J13)</x:f>
        <x:v>4000000000</x:v>
      </x:c>
      <x:c r="K14" s="99" t="n">
        <x:f>SUM(K7:K13)</x:f>
        <x:v>2270000000</x:v>
      </x:c>
      <x:c r="L14" s="98" t="str"/>
      <x:c r="M14" s="98" t="str"/>
      <x:c r="N14" s="68"/>
      <x:c r="O14" s="68"/>
      <x:c r="P14" s="68"/>
      <x:c r="Q14" s="68"/>
      <x:c r="R14" s="68"/>
    </x:row>
    <x:row r="15" ht="15" hidden="0" customHeight="1">
      <x:c r="A15" s="68"/>
      <x:c r="B15" s="68"/>
      <x:c r="C15" s="68"/>
      <x:c r="D15" s="68"/>
      <x:c r="E15" s="68"/>
      <x:c r="F15" s="68"/>
      <x:c r="G15" s="68"/>
      <x:c r="H15" s="68"/>
      <x:c r="I15" s="68"/>
      <x:c r="J15" s="68"/>
      <x:c r="K15" s="68"/>
      <x:c r="L15" s="68"/>
      <x:c r="M15" s="68"/>
      <x:c r="N15" s="68"/>
      <x:c r="O15" s="68"/>
      <x:c r="P15" s="68"/>
      <x:c r="Q15" s="68"/>
      <x:c r="R15" s="68"/>
    </x:row>
    <x:row r="16" ht="15" hidden="0" customHeight="1">
      <x:c r="A16" s="68"/>
      <x:c r="B16" s="68"/>
      <x:c r="C16" s="68"/>
      <x:c r="D16" s="68"/>
      <x:c r="E16" s="68"/>
      <x:c r="F16" s="68"/>
      <x:c r="G16" s="68"/>
      <x:c r="H16" s="68"/>
      <x:c r="I16" s="68"/>
      <x:c r="J16" s="68"/>
      <x:c r="K16" s="68"/>
      <x:c r="L16" s="68"/>
      <x:c r="M16" s="68"/>
      <x:c r="N16" s="68"/>
      <x:c r="O16" s="68"/>
      <x:c r="P16" s="68"/>
      <x:c r="Q16" s="68"/>
      <x:c r="R16" s="68"/>
    </x:row>
    <x:row r="17" ht="15" hidden="0" customHeight="1">
      <x:c r="A17" s="68"/>
      <x:c r="B17" s="68"/>
      <x:c r="C17" s="11" t="str">
        <x:v>Capacity Logic</x:v>
      </x:c>
      <x:c r="D17" s="12"/>
      <x:c r="E17" s="12"/>
      <x:c r="F17" s="12"/>
      <x:c r="G17" s="13"/>
      <x:c r="H17" s="68"/>
      <x:c r="I17" s="68"/>
      <x:c r="J17" s="68"/>
      <x:c r="K17" s="68"/>
      <x:c r="L17" s="68"/>
      <x:c r="M17" s="68"/>
      <x:c r="N17" s="68"/>
      <x:c r="O17" s="68"/>
      <x:c r="P17" s="68"/>
      <x:c r="Q17" s="68"/>
      <x:c r="R17" s="68"/>
    </x:row>
    <x:row r="18" ht="15" hidden="0" customHeight="1">
      <x:c r="A18" s="68"/>
      <x:c r="B18" s="68"/>
      <x:c r="C18" s="19" t="str">
        <x:v>Measure</x:v>
      </x:c>
      <x:c r="D18" s="19" t="str">
        <x:v>Formula result</x:v>
      </x:c>
      <x:c r="E18" s="19" t="str">
        <x:v>Unit</x:v>
      </x:c>
      <x:c r="F18" s="19" t="str">
        <x:v>Interpretation</x:v>
      </x:c>
      <x:c r="G18" s="68"/>
      <x:c r="H18" s="68"/>
      <x:c r="I18" s="68"/>
      <x:c r="J18" s="68"/>
      <x:c r="K18" s="68"/>
      <x:c r="L18" s="68"/>
      <x:c r="M18" s="68"/>
      <x:c r="N18" s="68"/>
      <x:c r="O18" s="68"/>
      <x:c r="P18" s="68"/>
      <x:c r="Q18" s="68"/>
      <x:c r="R18" s="68"/>
    </x:row>
    <x:row r="19" ht="15" hidden="0" customHeight="1">
      <x:c r="A19" s="68"/>
      <x:c r="B19" s="68"/>
      <x:c r="C19" s="68" t="str">
        <x:v>Attraction visits available per activity day</x:v>
      </x:c>
      <x:c r="D19" s="68" t="n">
        <x:f>SUM(G7:G12)</x:f>
        <x:v>1200</x:v>
      </x:c>
      <x:c r="E19" s="68" t="str">
        <x:v>visits/day</x:v>
      </x:c>
      <x:c r="F19" s="68" t="str">
        <x:v>Six sites at the same time</x:v>
      </x:c>
      <x:c r="G19" s="68"/>
      <x:c r="H19" s="68"/>
      <x:c r="I19" s="68"/>
      <x:c r="J19" s="68"/>
      <x:c r="K19" s="68"/>
      <x:c r="L19" s="68"/>
      <x:c r="M19" s="68"/>
      <x:c r="N19" s="68"/>
      <x:c r="O19" s="68"/>
      <x:c r="P19" s="68"/>
      <x:c r="Q19" s="68"/>
      <x:c r="R19" s="68"/>
    </x:row>
    <x:row r="20" ht="15" hidden="0" customHeight="1">
      <x:c r="A20" s="68"/>
      <x:c r="B20" s="68"/>
      <x:c r="C20" s="68" t="str">
        <x:v>Weekly 5D4N package capacity</x:v>
      </x:c>
      <x:c r="D20" s="68" t="n">
        <x:f>MIN(G7:G12)*'Assumptions'!$D$28</x:f>
        <x:v>600</x:v>
      </x:c>
      <x:c r="E20" s="68" t="str">
        <x:v>guests/week</x:v>
      </x:c>
      <x:c r="F20" s="68" t="str">
        <x:v>Each guest attends all six attractions across three days</x:v>
      </x:c>
      <x:c r="G20" s="68"/>
      <x:c r="H20" s="68"/>
      <x:c r="I20" s="68"/>
      <x:c r="J20" s="68"/>
      <x:c r="K20" s="68"/>
      <x:c r="L20" s="68"/>
      <x:c r="M20" s="68"/>
      <x:c r="N20" s="68"/>
      <x:c r="O20" s="68"/>
      <x:c r="P20" s="68"/>
      <x:c r="Q20" s="68"/>
      <x:c r="R20" s="68"/>
    </x:row>
    <x:row r="21" ht="15" hidden="0" customHeight="1">
      <x:c r="A21" s="68"/>
      <x:c r="B21" s="68"/>
      <x:c r="C21" s="68" t="str">
        <x:v>Rooms required per cohort</x:v>
      </x:c>
      <x:c r="D21" s="68" t="n">
        <x:f>D20/'Assumptions'!$D$22</x:f>
        <x:v>300</x:v>
      </x:c>
      <x:c r="E21" s="68" t="str">
        <x:v>rooms/night</x:v>
      </x:c>
      <x:c r="F21" s="68" t="str">
        <x:v>Two guests per room</x:v>
      </x:c>
      <x:c r="G21" s="68"/>
      <x:c r="H21" s="68"/>
      <x:c r="I21" s="68"/>
      <x:c r="J21" s="68"/>
      <x:c r="K21" s="68"/>
      <x:c r="L21" s="68"/>
      <x:c r="M21" s="68"/>
      <x:c r="N21" s="68"/>
      <x:c r="O21" s="68"/>
      <x:c r="P21" s="68"/>
      <x:c r="Q21" s="68"/>
      <x:c r="R21" s="68"/>
    </x:row>
    <x:row r="22" ht="15" hidden="0" customHeight="1">
      <x:c r="A22" s="68"/>
      <x:c r="B22" s="68"/>
      <x:c r="C22" s="68" t="str">
        <x:v>Cash CAPEX including preopening</x:v>
      </x:c>
      <x:c r="D22" s="101" t="n">
        <x:f>F14+'Assumptions'!$D$55</x:f>
        <x:v>29000000000</x:v>
      </x:c>
      <x:c r="E22" s="68" t="str">
        <x:v>Rp</x:v>
      </x:c>
      <x:c r="F22" s="68" t="str">
        <x:v>Before scenario CAPEX factor</x:v>
      </x:c>
      <x:c r="G22" s="68"/>
      <x:c r="H22" s="68"/>
      <x:c r="I22" s="68"/>
      <x:c r="J22" s="68"/>
      <x:c r="K22" s="68"/>
      <x:c r="L22" s="68"/>
      <x:c r="M22" s="68"/>
      <x:c r="N22" s="68"/>
      <x:c r="O22" s="68"/>
      <x:c r="P22" s="68"/>
      <x:c r="Q22" s="68"/>
      <x:c r="R22" s="68"/>
    </x:row>
    <x:row r="23" ht="15" hidden="0" customHeight="1">
      <x:c r="A23" s="68"/>
      <x:c r="B23" s="68"/>
      <x:c r="C23" s="68"/>
      <x:c r="D23" s="68"/>
      <x:c r="E23" s="68"/>
      <x:c r="F23" s="68"/>
      <x:c r="G23" s="68"/>
      <x:c r="H23" s="68"/>
      <x:c r="I23" s="68"/>
      <x:c r="J23" s="68"/>
      <x:c r="K23" s="68"/>
      <x:c r="L23" s="68"/>
      <x:c r="M23" s="68"/>
      <x:c r="N23" s="68"/>
      <x:c r="O23" s="68"/>
      <x:c r="P23" s="68"/>
      <x:c r="Q23" s="68"/>
      <x:c r="R23" s="68"/>
    </x:row>
    <x:row r="24" ht="15" hidden="0" customHeight="1">
      <x:c r="A24" s="68"/>
      <x:c r="B24" s="68"/>
      <x:c r="C24" s="68"/>
      <x:c r="D24" s="68"/>
      <x:c r="E24" s="68"/>
      <x:c r="F24" s="68"/>
      <x:c r="G24" s="68"/>
      <x:c r="H24" s="68"/>
      <x:c r="I24" s="68"/>
      <x:c r="J24" s="68"/>
      <x:c r="K24" s="68"/>
      <x:c r="L24" s="68"/>
      <x:c r="M24" s="68"/>
      <x:c r="N24" s="68"/>
      <x:c r="O24" s="68"/>
      <x:c r="P24" s="68"/>
      <x:c r="Q24" s="68"/>
      <x:c r="R24" s="68"/>
    </x:row>
    <x:row r="25" ht="15" hidden="0" customHeight="1">
      <x:c r="A25" s="68"/>
      <x:c r="B25" s="68"/>
      <x:c r="C25" s="68"/>
      <x:c r="D25" s="68"/>
      <x:c r="E25" s="68"/>
      <x:c r="F25" s="68"/>
      <x:c r="G25" s="68"/>
      <x:c r="H25" s="68"/>
      <x:c r="I25" s="68"/>
      <x:c r="J25" s="68"/>
      <x:c r="K25" s="68"/>
      <x:c r="L25" s="68"/>
      <x:c r="M25" s="68"/>
      <x:c r="N25" s="68"/>
      <x:c r="O25" s="68"/>
      <x:c r="P25" s="68"/>
      <x:c r="Q25" s="68"/>
      <x:c r="R25" s="68"/>
    </x:row>
    <x:row r="26" ht="15" hidden="0" customHeight="1">
      <x:c r="A26" s="68"/>
      <x:c r="B26" s="68"/>
      <x:c r="C26" s="68"/>
      <x:c r="D26" s="68"/>
      <x:c r="E26" s="68"/>
      <x:c r="F26" s="68"/>
      <x:c r="G26" s="68"/>
      <x:c r="H26" s="68"/>
      <x:c r="I26" s="68"/>
      <x:c r="J26" s="68"/>
      <x:c r="K26" s="68"/>
      <x:c r="L26" s="68"/>
      <x:c r="M26" s="68"/>
      <x:c r="N26" s="68"/>
      <x:c r="O26" s="68"/>
      <x:c r="P26" s="68"/>
      <x:c r="Q26" s="68"/>
      <x:c r="R26" s="68"/>
    </x:row>
    <x:row r="27" ht="15" hidden="0" customHeight="1">
      <x:c r="A27" s="68"/>
      <x:c r="B27" s="68"/>
      <x:c r="C27" s="68"/>
      <x:c r="D27" s="68"/>
      <x:c r="E27" s="68"/>
      <x:c r="F27" s="68"/>
      <x:c r="G27" s="68"/>
      <x:c r="H27" s="68"/>
      <x:c r="I27" s="68"/>
      <x:c r="J27" s="68"/>
      <x:c r="K27" s="68"/>
      <x:c r="L27" s="68"/>
      <x:c r="M27" s="68"/>
      <x:c r="N27" s="68"/>
      <x:c r="O27" s="68"/>
      <x:c r="P27" s="68"/>
      <x:c r="Q27" s="68"/>
      <x:c r="R27" s="68"/>
    </x:row>
    <x:row r="28" ht="15" hidden="0" customHeight="1">
      <x:c r="A28" s="68"/>
      <x:c r="B28" s="68"/>
      <x:c r="C28" s="68"/>
      <x:c r="D28" s="68"/>
      <x:c r="E28" s="68"/>
      <x:c r="F28" s="68"/>
      <x:c r="G28" s="68"/>
      <x:c r="H28" s="68"/>
      <x:c r="I28" s="68"/>
      <x:c r="J28" s="68"/>
      <x:c r="K28" s="68"/>
      <x:c r="L28" s="68"/>
      <x:c r="M28" s="68"/>
      <x:c r="N28" s="68"/>
      <x:c r="O28" s="68"/>
      <x:c r="P28" s="68"/>
      <x:c r="Q28" s="68"/>
      <x:c r="R28" s="68"/>
    </x:row>
    <x:row r="29" ht="15" hidden="0" customHeight="1">
      <x:c r="A29" s="68"/>
      <x:c r="B29" s="68"/>
      <x:c r="C29" s="68"/>
      <x:c r="D29" s="68"/>
      <x:c r="E29" s="68"/>
      <x:c r="F29" s="68"/>
      <x:c r="G29" s="68"/>
      <x:c r="H29" s="68"/>
      <x:c r="I29" s="68"/>
      <x:c r="J29" s="68"/>
      <x:c r="K29" s="68"/>
      <x:c r="L29" s="68"/>
      <x:c r="M29" s="68"/>
      <x:c r="N29" s="68"/>
      <x:c r="O29" s="68"/>
      <x:c r="P29" s="68"/>
      <x:c r="Q29" s="68"/>
      <x:c r="R29" s="68"/>
    </x:row>
    <x:row r="30" ht="15" hidden="0" customHeight="1">
      <x:c r="A30" s="68"/>
      <x:c r="B30" s="68"/>
      <x:c r="C30" s="68"/>
      <x:c r="D30" s="68"/>
      <x:c r="E30" s="68"/>
      <x:c r="F30" s="68"/>
      <x:c r="G30" s="68"/>
      <x:c r="H30" s="68"/>
      <x:c r="I30" s="68"/>
      <x:c r="J30" s="68"/>
      <x:c r="K30" s="68"/>
      <x:c r="L30" s="68"/>
      <x:c r="M30" s="68"/>
      <x:c r="N30" s="68"/>
      <x:c r="O30" s="68"/>
      <x:c r="P30" s="68"/>
      <x:c r="Q30" s="68"/>
      <x:c r="R30" s="68"/>
    </x:row>
    <x:row r="31" ht="15" hidden="0" customHeight="1">
      <x:c r="A31" s="68"/>
      <x:c r="B31" s="68"/>
      <x:c r="C31" s="68"/>
      <x:c r="D31" s="68"/>
      <x:c r="E31" s="68"/>
      <x:c r="F31" s="68"/>
      <x:c r="G31" s="68"/>
      <x:c r="H31" s="68"/>
      <x:c r="I31" s="68"/>
      <x:c r="J31" s="68"/>
      <x:c r="K31" s="68"/>
      <x:c r="L31" s="68"/>
      <x:c r="M31" s="68"/>
      <x:c r="N31" s="68"/>
      <x:c r="O31" s="68"/>
      <x:c r="P31" s="68"/>
      <x:c r="Q31" s="68"/>
      <x:c r="R31" s="68"/>
    </x:row>
    <x:row r="32" ht="15" hidden="0" customHeight="1">
      <x:c r="A32" s="68"/>
      <x:c r="B32" s="68"/>
      <x:c r="C32" s="68"/>
      <x:c r="D32" s="68"/>
      <x:c r="E32" s="68"/>
      <x:c r="F32" s="68"/>
      <x:c r="G32" s="68"/>
      <x:c r="H32" s="68"/>
      <x:c r="I32" s="68"/>
      <x:c r="J32" s="68"/>
      <x:c r="K32" s="68"/>
      <x:c r="L32" s="68"/>
      <x:c r="M32" s="68"/>
      <x:c r="N32" s="68"/>
      <x:c r="O32" s="68"/>
      <x:c r="P32" s="68"/>
      <x:c r="Q32" s="68"/>
      <x:c r="R32" s="68"/>
    </x:row>
    <x:row r="33" ht="15" hidden="0" customHeight="1">
      <x:c r="A33" s="68"/>
      <x:c r="B33" s="68"/>
      <x:c r="C33" s="68"/>
      <x:c r="D33" s="68"/>
      <x:c r="E33" s="68"/>
      <x:c r="F33" s="68"/>
      <x:c r="G33" s="68"/>
      <x:c r="H33" s="68"/>
      <x:c r="I33" s="68"/>
      <x:c r="J33" s="68"/>
      <x:c r="K33" s="68"/>
      <x:c r="L33" s="68"/>
      <x:c r="M33" s="68"/>
      <x:c r="N33" s="68"/>
      <x:c r="O33" s="68"/>
      <x:c r="P33" s="68"/>
      <x:c r="Q33" s="68"/>
      <x:c r="R33" s="68"/>
    </x:row>
    <x:row r="34" ht="15" hidden="0" customHeight="1">
      <x:c r="A34" s="68"/>
      <x:c r="B34" s="68"/>
      <x:c r="C34" s="68"/>
      <x:c r="D34" s="68"/>
      <x:c r="E34" s="68"/>
      <x:c r="F34" s="68"/>
      <x:c r="G34" s="68"/>
      <x:c r="H34" s="68"/>
      <x:c r="I34" s="68"/>
      <x:c r="J34" s="68"/>
      <x:c r="K34" s="68"/>
      <x:c r="L34" s="68"/>
      <x:c r="M34" s="68"/>
      <x:c r="N34" s="68"/>
      <x:c r="O34" s="68"/>
      <x:c r="P34" s="68"/>
      <x:c r="Q34" s="68"/>
      <x:c r="R34" s="68"/>
    </x:row>
    <x:row r="35" ht="15" hidden="0" customHeight="1">
      <x:c r="A35" s="68"/>
      <x:c r="B35" s="68"/>
      <x:c r="C35" s="68"/>
      <x:c r="D35" s="68"/>
      <x:c r="E35" s="68"/>
      <x:c r="F35" s="68"/>
      <x:c r="G35" s="68"/>
      <x:c r="H35" s="68"/>
      <x:c r="I35" s="68"/>
      <x:c r="J35" s="68"/>
      <x:c r="K35" s="68"/>
      <x:c r="L35" s="68"/>
      <x:c r="M35" s="68"/>
      <x:c r="N35" s="68"/>
      <x:c r="O35" s="68"/>
      <x:c r="P35" s="68"/>
      <x:c r="Q35" s="68"/>
      <x:c r="R35" s="68"/>
    </x:row>
    <x:row r="36" ht="15" hidden="0" customHeight="1">
      <x:c r="A36" s="68"/>
      <x:c r="B36" s="68"/>
      <x:c r="C36" s="68"/>
      <x:c r="D36" s="68"/>
      <x:c r="E36" s="68"/>
      <x:c r="F36" s="68"/>
      <x:c r="G36" s="68"/>
      <x:c r="H36" s="68"/>
      <x:c r="I36" s="68"/>
      <x:c r="J36" s="68"/>
      <x:c r="K36" s="68"/>
      <x:c r="L36" s="68"/>
      <x:c r="M36" s="68"/>
      <x:c r="N36" s="68"/>
      <x:c r="O36" s="68"/>
      <x:c r="P36" s="68"/>
      <x:c r="Q36" s="68"/>
      <x:c r="R36" s="68"/>
    </x:row>
    <x:row r="37" ht="15" hidden="0" customHeight="1">
      <x:c r="A37" s="68"/>
      <x:c r="B37" s="68"/>
      <x:c r="C37" s="68"/>
      <x:c r="D37" s="68"/>
      <x:c r="E37" s="68"/>
      <x:c r="F37" s="68"/>
      <x:c r="G37" s="68"/>
      <x:c r="H37" s="68"/>
      <x:c r="I37" s="68"/>
      <x:c r="J37" s="68"/>
      <x:c r="K37" s="68"/>
      <x:c r="L37" s="68"/>
      <x:c r="M37" s="68"/>
      <x:c r="N37" s="68"/>
      <x:c r="O37" s="68"/>
      <x:c r="P37" s="68"/>
      <x:c r="Q37" s="68"/>
      <x:c r="R37" s="68"/>
    </x:row>
    <x:row r="38" ht="15" hidden="0" customHeight="1">
      <x:c r="A38" s="68"/>
      <x:c r="B38" s="68"/>
      <x:c r="C38" s="68"/>
      <x:c r="D38" s="68"/>
      <x:c r="E38" s="68"/>
      <x:c r="F38" s="68"/>
      <x:c r="G38" s="68"/>
      <x:c r="H38" s="68"/>
      <x:c r="I38" s="68"/>
      <x:c r="J38" s="68"/>
      <x:c r="K38" s="68"/>
      <x:c r="L38" s="68"/>
      <x:c r="M38" s="68"/>
      <x:c r="N38" s="68"/>
      <x:c r="O38" s="68"/>
      <x:c r="P38" s="68"/>
      <x:c r="Q38" s="68"/>
      <x:c r="R38" s="68"/>
    </x:row>
    <x:row r="39" ht="15" hidden="0" customHeight="1">
      <x:c r="A39" s="68"/>
      <x:c r="B39" s="68"/>
      <x:c r="C39" s="68"/>
      <x:c r="D39" s="68"/>
      <x:c r="E39" s="68"/>
      <x:c r="F39" s="68"/>
      <x:c r="G39" s="68"/>
      <x:c r="H39" s="68"/>
      <x:c r="I39" s="68"/>
      <x:c r="J39" s="68"/>
      <x:c r="K39" s="68"/>
      <x:c r="L39" s="68"/>
      <x:c r="M39" s="68"/>
      <x:c r="N39" s="68"/>
      <x:c r="O39" s="68"/>
      <x:c r="P39" s="68"/>
      <x:c r="Q39" s="68"/>
      <x:c r="R39" s="68"/>
    </x:row>
    <x:row r="40" ht="15" hidden="0" customHeight="1">
      <x:c r="A40" s="68"/>
      <x:c r="B40" s="68"/>
      <x:c r="C40" s="68"/>
      <x:c r="D40" s="68"/>
      <x:c r="E40" s="68"/>
      <x:c r="F40" s="68"/>
      <x:c r="G40" s="68"/>
      <x:c r="H40" s="68"/>
      <x:c r="I40" s="68"/>
      <x:c r="J40" s="68"/>
      <x:c r="K40" s="68"/>
      <x:c r="L40" s="68"/>
      <x:c r="M40" s="68"/>
      <x:c r="N40" s="68"/>
      <x:c r="O40" s="68"/>
      <x:c r="P40" s="68"/>
      <x:c r="Q40" s="68"/>
      <x:c r="R40" s="68"/>
    </x:row>
    <x:row r="41" ht="15" hidden="0" customHeight="1">
      <x:c r="A41" s="68"/>
      <x:c r="B41" s="68"/>
      <x:c r="C41" s="68"/>
      <x:c r="D41" s="68"/>
      <x:c r="E41" s="68"/>
      <x:c r="F41" s="68"/>
      <x:c r="G41" s="68"/>
      <x:c r="H41" s="68"/>
      <x:c r="I41" s="68"/>
      <x:c r="J41" s="68"/>
      <x:c r="K41" s="68"/>
      <x:c r="L41" s="68"/>
      <x:c r="M41" s="68"/>
      <x:c r="N41" s="68"/>
      <x:c r="O41" s="68"/>
      <x:c r="P41" s="68"/>
      <x:c r="Q41" s="68"/>
      <x:c r="R41" s="68"/>
    </x:row>
    <x:row r="42" ht="15" hidden="0" customHeight="1">
      <x:c r="A42" s="68"/>
      <x:c r="B42" s="68"/>
      <x:c r="C42" s="68"/>
      <x:c r="D42" s="68"/>
      <x:c r="E42" s="68"/>
      <x:c r="F42" s="68"/>
      <x:c r="G42" s="68"/>
      <x:c r="H42" s="68"/>
      <x:c r="I42" s="68"/>
      <x:c r="J42" s="68"/>
      <x:c r="K42" s="68"/>
      <x:c r="L42" s="68"/>
      <x:c r="M42" s="68"/>
      <x:c r="N42" s="68"/>
      <x:c r="O42" s="68"/>
      <x:c r="P42" s="68"/>
      <x:c r="Q42" s="68"/>
      <x:c r="R42" s="68"/>
    </x:row>
    <x:row r="43" ht="15" hidden="0" customHeight="1">
      <x:c r="A43" s="68"/>
      <x:c r="B43" s="68"/>
      <x:c r="C43" s="68"/>
      <x:c r="D43" s="68"/>
      <x:c r="E43" s="68"/>
      <x:c r="F43" s="68"/>
      <x:c r="G43" s="68"/>
      <x:c r="H43" s="68"/>
      <x:c r="I43" s="68"/>
      <x:c r="J43" s="68"/>
      <x:c r="K43" s="68"/>
      <x:c r="L43" s="68"/>
      <x:c r="M43" s="68"/>
      <x:c r="N43" s="68"/>
      <x:c r="O43" s="68"/>
      <x:c r="P43" s="68"/>
      <x:c r="Q43" s="68"/>
      <x:c r="R43" s="68"/>
    </x:row>
    <x:row r="44" ht="15" hidden="0" customHeight="1">
      <x:c r="A44" s="68"/>
      <x:c r="B44" s="68"/>
      <x:c r="C44" s="68"/>
      <x:c r="D44" s="68"/>
      <x:c r="E44" s="68"/>
      <x:c r="F44" s="68"/>
      <x:c r="G44" s="68"/>
      <x:c r="H44" s="68"/>
      <x:c r="I44" s="68"/>
      <x:c r="J44" s="68"/>
      <x:c r="K44" s="68"/>
      <x:c r="L44" s="68"/>
      <x:c r="M44" s="68"/>
      <x:c r="N44" s="68"/>
      <x:c r="O44" s="68"/>
      <x:c r="P44" s="68"/>
      <x:c r="Q44" s="68"/>
      <x:c r="R44" s="68"/>
    </x:row>
    <x:row r="45" ht="15" hidden="0" customHeight="1">
      <x:c r="A45" s="68"/>
      <x:c r="B45" s="68"/>
      <x:c r="C45" s="68"/>
      <x:c r="D45" s="68"/>
      <x:c r="E45" s="68"/>
      <x:c r="F45" s="68"/>
      <x:c r="G45" s="68"/>
      <x:c r="H45" s="68"/>
      <x:c r="I45" s="68"/>
      <x:c r="J45" s="68"/>
      <x:c r="K45" s="68"/>
      <x:c r="L45" s="68"/>
      <x:c r="M45" s="68"/>
      <x:c r="N45" s="68"/>
      <x:c r="O45" s="68"/>
      <x:c r="P45" s="68"/>
      <x:c r="Q45" s="68"/>
      <x:c r="R45" s="68"/>
    </x:row>
    <x:row r="46" ht="15" hidden="0" customHeight="1">
      <x:c r="A46" s="68"/>
      <x:c r="B46" s="68"/>
      <x:c r="C46" s="68"/>
      <x:c r="D46" s="68"/>
      <x:c r="E46" s="68"/>
      <x:c r="F46" s="68"/>
      <x:c r="G46" s="68"/>
      <x:c r="H46" s="68"/>
      <x:c r="I46" s="68"/>
      <x:c r="J46" s="68"/>
      <x:c r="K46" s="68"/>
      <x:c r="L46" s="68"/>
      <x:c r="M46" s="68"/>
      <x:c r="N46" s="68"/>
      <x:c r="O46" s="68"/>
      <x:c r="P46" s="68"/>
      <x:c r="Q46" s="68"/>
      <x:c r="R46" s="68"/>
    </x:row>
    <x:row r="47" ht="15" hidden="0" customHeight="1">
      <x:c r="A47" s="68"/>
      <x:c r="B47" s="68"/>
      <x:c r="C47" s="68"/>
      <x:c r="D47" s="68"/>
      <x:c r="E47" s="68"/>
      <x:c r="F47" s="68"/>
      <x:c r="G47" s="68"/>
      <x:c r="H47" s="68"/>
      <x:c r="I47" s="68"/>
      <x:c r="J47" s="68"/>
      <x:c r="K47" s="68"/>
      <x:c r="L47" s="68"/>
      <x:c r="M47" s="68"/>
      <x:c r="N47" s="68"/>
      <x:c r="O47" s="68"/>
      <x:c r="P47" s="68"/>
      <x:c r="Q47" s="68"/>
      <x:c r="R47" s="68"/>
    </x:row>
    <x:row r="48" ht="15" hidden="0" customHeight="1">
      <x:c r="A48" s="68"/>
      <x:c r="B48" s="68"/>
      <x:c r="C48" s="68"/>
      <x:c r="D48" s="68"/>
      <x:c r="E48" s="68"/>
      <x:c r="F48" s="68"/>
      <x:c r="G48" s="68"/>
      <x:c r="H48" s="68"/>
      <x:c r="I48" s="68"/>
      <x:c r="J48" s="68"/>
      <x:c r="K48" s="68"/>
      <x:c r="L48" s="68"/>
      <x:c r="M48" s="68"/>
      <x:c r="N48" s="68"/>
      <x:c r="O48" s="68"/>
      <x:c r="P48" s="68"/>
      <x:c r="Q48" s="68"/>
      <x:c r="R48" s="68"/>
    </x:row>
    <x:row r="49" ht="15" hidden="0" customHeight="1">
      <x:c r="A49" s="68"/>
      <x:c r="B49" s="68"/>
      <x:c r="C49" s="68"/>
      <x:c r="D49" s="68"/>
      <x:c r="E49" s="68"/>
      <x:c r="F49" s="68"/>
      <x:c r="G49" s="68"/>
      <x:c r="H49" s="68"/>
      <x:c r="I49" s="68"/>
      <x:c r="J49" s="68"/>
      <x:c r="K49" s="68"/>
      <x:c r="L49" s="68"/>
      <x:c r="M49" s="68"/>
      <x:c r="N49" s="68"/>
      <x:c r="O49" s="68"/>
      <x:c r="P49" s="68"/>
      <x:c r="Q49" s="68"/>
      <x:c r="R49" s="68"/>
    </x:row>
    <x:row r="50" ht="15" hidden="0" customHeight="1">
      <x:c r="A50" s="68"/>
      <x:c r="B50" s="68"/>
      <x:c r="C50" s="68"/>
      <x:c r="D50" s="68"/>
      <x:c r="E50" s="68"/>
      <x:c r="F50" s="68"/>
      <x:c r="G50" s="68"/>
      <x:c r="H50" s="68"/>
      <x:c r="I50" s="68"/>
      <x:c r="J50" s="68"/>
      <x:c r="K50" s="68"/>
      <x:c r="L50" s="68"/>
      <x:c r="M50" s="68"/>
      <x:c r="N50" s="68"/>
      <x:c r="O50" s="68"/>
      <x:c r="P50" s="68"/>
      <x:c r="Q50" s="68"/>
      <x:c r="R50" s="68"/>
    </x:row>
    <x:row r="51" ht="15" hidden="0" customHeight="1">
      <x:c r="A51" s="68"/>
      <x:c r="B51" s="68"/>
      <x:c r="C51" s="68"/>
      <x:c r="D51" s="68"/>
      <x:c r="E51" s="68"/>
      <x:c r="F51" s="68"/>
      <x:c r="G51" s="68"/>
      <x:c r="H51" s="68"/>
      <x:c r="I51" s="68"/>
      <x:c r="J51" s="68"/>
      <x:c r="K51" s="68"/>
      <x:c r="L51" s="68"/>
      <x:c r="M51" s="68"/>
      <x:c r="N51" s="68"/>
      <x:c r="O51" s="68"/>
      <x:c r="P51" s="68"/>
      <x:c r="Q51" s="68"/>
      <x:c r="R51" s="68"/>
    </x:row>
    <x:row r="52" ht="15" hidden="0" customHeight="1">
      <x:c r="A52" s="68"/>
      <x:c r="B52" s="68"/>
      <x:c r="C52" s="68"/>
      <x:c r="D52" s="68"/>
      <x:c r="E52" s="68"/>
      <x:c r="F52" s="68"/>
      <x:c r="G52" s="68"/>
      <x:c r="H52" s="68"/>
      <x:c r="I52" s="68"/>
      <x:c r="J52" s="68"/>
      <x:c r="K52" s="68"/>
      <x:c r="L52" s="68"/>
      <x:c r="M52" s="68"/>
      <x:c r="N52" s="68"/>
      <x:c r="O52" s="68"/>
      <x:c r="P52" s="68"/>
      <x:c r="Q52" s="68"/>
      <x:c r="R52" s="68"/>
    </x:row>
    <x:row r="53" ht="15" hidden="0" customHeight="1">
      <x:c r="A53" s="68"/>
      <x:c r="B53" s="68"/>
      <x:c r="C53" s="68"/>
      <x:c r="D53" s="68"/>
      <x:c r="E53" s="68"/>
      <x:c r="F53" s="68"/>
      <x:c r="G53" s="68"/>
      <x:c r="H53" s="68"/>
      <x:c r="I53" s="68"/>
      <x:c r="J53" s="68"/>
      <x:c r="K53" s="68"/>
      <x:c r="L53" s="68"/>
      <x:c r="M53" s="68"/>
      <x:c r="N53" s="68"/>
      <x:c r="O53" s="68"/>
      <x:c r="P53" s="68"/>
      <x:c r="Q53" s="68"/>
      <x:c r="R53" s="68"/>
    </x:row>
    <x:row r="54" ht="15" hidden="0" customHeight="1">
      <x:c r="A54" s="68"/>
      <x:c r="B54" s="68"/>
      <x:c r="C54" s="68"/>
      <x:c r="D54" s="68"/>
      <x:c r="E54" s="68"/>
      <x:c r="F54" s="68"/>
      <x:c r="G54" s="68"/>
      <x:c r="H54" s="68"/>
      <x:c r="I54" s="68"/>
      <x:c r="J54" s="68"/>
      <x:c r="K54" s="68"/>
      <x:c r="L54" s="68"/>
      <x:c r="M54" s="68"/>
      <x:c r="N54" s="68"/>
      <x:c r="O54" s="68"/>
      <x:c r="P54" s="68"/>
      <x:c r="Q54" s="68"/>
      <x:c r="R54" s="68"/>
    </x:row>
    <x:row r="55" ht="15" hidden="0" customHeight="1">
      <x:c r="A55" s="68"/>
      <x:c r="B55" s="68"/>
      <x:c r="C55" s="68"/>
      <x:c r="D55" s="68"/>
      <x:c r="E55" s="68"/>
      <x:c r="F55" s="68"/>
      <x:c r="G55" s="68"/>
      <x:c r="H55" s="68"/>
      <x:c r="I55" s="68"/>
      <x:c r="J55" s="68"/>
      <x:c r="K55" s="68"/>
      <x:c r="L55" s="68"/>
      <x:c r="M55" s="68"/>
      <x:c r="N55" s="68"/>
      <x:c r="O55" s="68"/>
      <x:c r="P55" s="68"/>
      <x:c r="Q55" s="68"/>
      <x:c r="R55" s="68"/>
    </x:row>
    <x:row r="56" ht="15" hidden="0" customHeight="1">
      <x:c r="A56" s="68"/>
      <x:c r="B56" s="68"/>
      <x:c r="C56" s="68"/>
      <x:c r="D56" s="68"/>
      <x:c r="E56" s="68"/>
      <x:c r="F56" s="68"/>
      <x:c r="G56" s="68"/>
      <x:c r="H56" s="68"/>
      <x:c r="I56" s="68"/>
      <x:c r="J56" s="68"/>
      <x:c r="K56" s="68"/>
      <x:c r="L56" s="68"/>
      <x:c r="M56" s="68"/>
      <x:c r="N56" s="68"/>
      <x:c r="O56" s="68"/>
      <x:c r="P56" s="68"/>
      <x:c r="Q56" s="68"/>
      <x:c r="R56" s="68"/>
    </x:row>
    <x:row r="57" ht="15" hidden="0" customHeight="1">
      <x:c r="A57" s="68"/>
      <x:c r="B57" s="68"/>
      <x:c r="C57" s="68"/>
      <x:c r="D57" s="68"/>
      <x:c r="E57" s="68"/>
      <x:c r="F57" s="68"/>
      <x:c r="G57" s="68"/>
      <x:c r="H57" s="68"/>
      <x:c r="I57" s="68"/>
      <x:c r="J57" s="68"/>
      <x:c r="K57" s="68"/>
      <x:c r="L57" s="68"/>
      <x:c r="M57" s="68"/>
      <x:c r="N57" s="68"/>
      <x:c r="O57" s="68"/>
      <x:c r="P57" s="68"/>
      <x:c r="Q57" s="68"/>
      <x:c r="R57" s="68"/>
    </x:row>
    <x:row r="58" ht="15" hidden="0" customHeight="1">
      <x:c r="A58" s="68"/>
      <x:c r="B58" s="68"/>
      <x:c r="C58" s="68"/>
      <x:c r="D58" s="68"/>
      <x:c r="E58" s="68"/>
      <x:c r="F58" s="68"/>
      <x:c r="G58" s="68"/>
      <x:c r="H58" s="68"/>
      <x:c r="I58" s="68"/>
      <x:c r="J58" s="68"/>
      <x:c r="K58" s="68"/>
      <x:c r="L58" s="68"/>
      <x:c r="M58" s="68"/>
      <x:c r="N58" s="68"/>
      <x:c r="O58" s="68"/>
      <x:c r="P58" s="68"/>
      <x:c r="Q58" s="68"/>
      <x:c r="R58" s="68"/>
    </x:row>
    <x:row r="59" ht="15" hidden="0" customHeight="1">
      <x:c r="A59" s="68"/>
      <x:c r="B59" s="68"/>
      <x:c r="C59" s="68"/>
      <x:c r="D59" s="68"/>
      <x:c r="E59" s="68"/>
      <x:c r="F59" s="68"/>
      <x:c r="G59" s="68"/>
      <x:c r="H59" s="68"/>
      <x:c r="I59" s="68"/>
      <x:c r="J59" s="68"/>
      <x:c r="K59" s="68"/>
      <x:c r="L59" s="68"/>
      <x:c r="M59" s="68"/>
      <x:c r="N59" s="68"/>
      <x:c r="O59" s="68"/>
      <x:c r="P59" s="68"/>
      <x:c r="Q59" s="68"/>
      <x:c r="R59" s="68"/>
    </x:row>
    <x:row r="60" ht="15" hidden="0" customHeight="1">
      <x:c r="A60" s="68"/>
      <x:c r="B60" s="68"/>
      <x:c r="C60" s="68"/>
      <x:c r="D60" s="68"/>
      <x:c r="E60" s="68"/>
      <x:c r="F60" s="68"/>
      <x:c r="G60" s="68"/>
      <x:c r="H60" s="68"/>
      <x:c r="I60" s="68"/>
      <x:c r="J60" s="68"/>
      <x:c r="K60" s="68"/>
      <x:c r="L60" s="68"/>
      <x:c r="M60" s="68"/>
      <x:c r="N60" s="68"/>
      <x:c r="O60" s="68"/>
      <x:c r="P60" s="68"/>
      <x:c r="Q60" s="68"/>
      <x:c r="R60" s="68"/>
    </x:row>
    <x:row r="61" ht="15" hidden="0" customHeight="1">
      <x:c r="A61" s="68"/>
      <x:c r="B61" s="68"/>
      <x:c r="C61" s="68"/>
      <x:c r="D61" s="68"/>
      <x:c r="E61" s="68"/>
      <x:c r="F61" s="68"/>
      <x:c r="G61" s="68"/>
      <x:c r="H61" s="68"/>
      <x:c r="I61" s="68"/>
      <x:c r="J61" s="68"/>
      <x:c r="K61" s="68"/>
      <x:c r="L61" s="68"/>
      <x:c r="M61" s="68"/>
      <x:c r="N61" s="68"/>
      <x:c r="O61" s="68"/>
      <x:c r="P61" s="68"/>
      <x:c r="Q61" s="68"/>
      <x:c r="R61" s="68"/>
    </x:row>
    <x:row r="62" ht="15" hidden="0" customHeight="1">
      <x:c r="A62" s="68"/>
      <x:c r="B62" s="68"/>
      <x:c r="C62" s="68"/>
      <x:c r="D62" s="68"/>
      <x:c r="E62" s="68"/>
      <x:c r="F62" s="68"/>
      <x:c r="G62" s="68"/>
      <x:c r="H62" s="68"/>
      <x:c r="I62" s="68"/>
      <x:c r="J62" s="68"/>
      <x:c r="K62" s="68"/>
      <x:c r="L62" s="68"/>
      <x:c r="M62" s="68"/>
      <x:c r="N62" s="68"/>
      <x:c r="O62" s="68"/>
      <x:c r="P62" s="68"/>
      <x:c r="Q62" s="68"/>
      <x:c r="R62" s="68"/>
    </x:row>
    <x:row r="63" ht="15" hidden="0" customHeight="1">
      <x:c r="A63" s="68"/>
      <x:c r="B63" s="68"/>
      <x:c r="C63" s="68"/>
      <x:c r="D63" s="68"/>
      <x:c r="E63" s="68"/>
      <x:c r="F63" s="68"/>
      <x:c r="G63" s="68"/>
      <x:c r="H63" s="68"/>
      <x:c r="I63" s="68"/>
      <x:c r="J63" s="68"/>
      <x:c r="K63" s="68"/>
      <x:c r="L63" s="68"/>
      <x:c r="M63" s="68"/>
      <x:c r="N63" s="68"/>
      <x:c r="O63" s="68"/>
      <x:c r="P63" s="68"/>
      <x:c r="Q63" s="68"/>
      <x:c r="R63" s="68"/>
    </x:row>
    <x:row r="64" ht="15" hidden="0" customHeight="1">
      <x:c r="A64" s="68"/>
      <x:c r="B64" s="68"/>
      <x:c r="C64" s="68"/>
      <x:c r="D64" s="68"/>
      <x:c r="E64" s="68"/>
      <x:c r="F64" s="68"/>
      <x:c r="G64" s="68"/>
      <x:c r="H64" s="68"/>
      <x:c r="I64" s="68"/>
      <x:c r="J64" s="68"/>
      <x:c r="K64" s="68"/>
      <x:c r="L64" s="68"/>
      <x:c r="M64" s="68"/>
      <x:c r="N64" s="68"/>
      <x:c r="O64" s="68"/>
      <x:c r="P64" s="68"/>
      <x:c r="Q64" s="68"/>
      <x:c r="R64" s="68"/>
    </x:row>
    <x:row r="65" ht="15" hidden="0" customHeight="1">
      <x:c r="A65" s="68"/>
      <x:c r="B65" s="68"/>
      <x:c r="C65" s="68"/>
      <x:c r="D65" s="68"/>
      <x:c r="E65" s="68"/>
      <x:c r="F65" s="68"/>
      <x:c r="G65" s="68"/>
      <x:c r="H65" s="68"/>
      <x:c r="I65" s="68"/>
      <x:c r="J65" s="68"/>
      <x:c r="K65" s="68"/>
      <x:c r="L65" s="68"/>
      <x:c r="M65" s="68"/>
      <x:c r="N65" s="68"/>
      <x:c r="O65" s="68"/>
      <x:c r="P65" s="68"/>
      <x:c r="Q65" s="68"/>
      <x:c r="R65" s="68"/>
    </x:row>
    <x:row r="66" ht="15" hidden="0" customHeight="1">
      <x:c r="A66" s="68"/>
      <x:c r="B66" s="68"/>
      <x:c r="C66" s="68"/>
      <x:c r="D66" s="68"/>
      <x:c r="E66" s="68"/>
      <x:c r="F66" s="68"/>
      <x:c r="G66" s="68"/>
      <x:c r="H66" s="68"/>
      <x:c r="I66" s="68"/>
      <x:c r="J66" s="68"/>
      <x:c r="K66" s="68"/>
      <x:c r="L66" s="68"/>
      <x:c r="M66" s="68"/>
      <x:c r="N66" s="68"/>
      <x:c r="O66" s="68"/>
      <x:c r="P66" s="68"/>
      <x:c r="Q66" s="68"/>
      <x:c r="R66" s="68"/>
    </x:row>
    <x:row r="67" ht="15" hidden="0" customHeight="1">
      <x:c r="A67" s="68"/>
      <x:c r="B67" s="68"/>
      <x:c r="C67" s="68"/>
      <x:c r="D67" s="68"/>
      <x:c r="E67" s="68"/>
      <x:c r="F67" s="68"/>
      <x:c r="G67" s="68"/>
      <x:c r="H67" s="68"/>
      <x:c r="I67" s="68"/>
      <x:c r="J67" s="68"/>
      <x:c r="K67" s="68"/>
      <x:c r="L67" s="68"/>
      <x:c r="M67" s="68"/>
      <x:c r="N67" s="68"/>
      <x:c r="O67" s="68"/>
      <x:c r="P67" s="68"/>
      <x:c r="Q67" s="68"/>
      <x:c r="R67" s="68"/>
    </x:row>
    <x:row r="68" ht="15" hidden="0" customHeight="1">
      <x:c r="A68" s="68"/>
      <x:c r="B68" s="68"/>
      <x:c r="C68" s="68"/>
      <x:c r="D68" s="68"/>
      <x:c r="E68" s="68"/>
      <x:c r="F68" s="68"/>
      <x:c r="G68" s="68"/>
      <x:c r="H68" s="68"/>
      <x:c r="I68" s="68"/>
      <x:c r="J68" s="68"/>
      <x:c r="K68" s="68"/>
      <x:c r="L68" s="68"/>
      <x:c r="M68" s="68"/>
      <x:c r="N68" s="68"/>
      <x:c r="O68" s="68"/>
      <x:c r="P68" s="68"/>
      <x:c r="Q68" s="68"/>
      <x:c r="R68" s="68"/>
    </x:row>
    <x:row r="69" ht="15" hidden="0" customHeight="1">
      <x:c r="A69" s="68"/>
      <x:c r="B69" s="68"/>
      <x:c r="C69" s="68"/>
      <x:c r="D69" s="68"/>
      <x:c r="E69" s="68"/>
      <x:c r="F69" s="68"/>
      <x:c r="G69" s="68"/>
      <x:c r="H69" s="68"/>
      <x:c r="I69" s="68"/>
      <x:c r="J69" s="68"/>
      <x:c r="K69" s="68"/>
      <x:c r="L69" s="68"/>
      <x:c r="M69" s="68"/>
      <x:c r="N69" s="68"/>
      <x:c r="O69" s="68"/>
      <x:c r="P69" s="68"/>
      <x:c r="Q69" s="68"/>
      <x:c r="R69" s="68"/>
    </x:row>
    <x:row r="70" ht="15" hidden="0" customHeight="1">
      <x:c r="A70" s="68"/>
      <x:c r="B70" s="68"/>
      <x:c r="C70" s="68"/>
      <x:c r="D70" s="68"/>
      <x:c r="E70" s="68"/>
      <x:c r="F70" s="68"/>
      <x:c r="G70" s="68"/>
      <x:c r="H70" s="68"/>
      <x:c r="I70" s="68"/>
      <x:c r="J70" s="68"/>
      <x:c r="K70" s="68"/>
      <x:c r="L70" s="68"/>
      <x:c r="M70" s="68"/>
      <x:c r="N70" s="68"/>
      <x:c r="O70" s="68"/>
      <x:c r="P70" s="68"/>
      <x:c r="Q70" s="68"/>
      <x:c r="R70" s="68"/>
    </x:row>
    <x:row r="71" ht="15" hidden="0" customHeight="1">
      <x:c r="A71" s="68"/>
      <x:c r="B71" s="68"/>
      <x:c r="C71" s="68"/>
      <x:c r="D71" s="68"/>
      <x:c r="E71" s="68"/>
      <x:c r="F71" s="68"/>
      <x:c r="G71" s="68"/>
      <x:c r="H71" s="68"/>
      <x:c r="I71" s="68"/>
      <x:c r="J71" s="68"/>
      <x:c r="K71" s="68"/>
      <x:c r="L71" s="68"/>
      <x:c r="M71" s="68"/>
      <x:c r="N71" s="68"/>
      <x:c r="O71" s="68"/>
      <x:c r="P71" s="68"/>
      <x:c r="Q71" s="68"/>
      <x:c r="R71" s="68"/>
    </x:row>
    <x:row r="72" ht="15" hidden="0" customHeight="1">
      <x:c r="A72" s="68"/>
      <x:c r="B72" s="68"/>
      <x:c r="C72" s="68"/>
      <x:c r="D72" s="68"/>
      <x:c r="E72" s="68"/>
      <x:c r="F72" s="68"/>
      <x:c r="G72" s="68"/>
      <x:c r="H72" s="68"/>
      <x:c r="I72" s="68"/>
      <x:c r="J72" s="68"/>
      <x:c r="K72" s="68"/>
      <x:c r="L72" s="68"/>
      <x:c r="M72" s="68"/>
      <x:c r="N72" s="68"/>
      <x:c r="O72" s="68"/>
      <x:c r="P72" s="68"/>
      <x:c r="Q72" s="68"/>
      <x:c r="R72" s="68"/>
    </x:row>
    <x:row r="73" ht="15" hidden="0" customHeight="1">
      <x:c r="A73" s="68"/>
      <x:c r="B73" s="68"/>
      <x:c r="C73" s="68"/>
      <x:c r="D73" s="68"/>
      <x:c r="E73" s="68"/>
      <x:c r="F73" s="68"/>
      <x:c r="G73" s="68"/>
      <x:c r="H73" s="68"/>
      <x:c r="I73" s="68"/>
      <x:c r="J73" s="68"/>
      <x:c r="K73" s="68"/>
      <x:c r="L73" s="68"/>
      <x:c r="M73" s="68"/>
      <x:c r="N73" s="68"/>
      <x:c r="O73" s="68"/>
      <x:c r="P73" s="68"/>
      <x:c r="Q73" s="68"/>
      <x:c r="R73" s="68"/>
    </x:row>
    <x:row r="74" ht="15" hidden="0" customHeight="1">
      <x:c r="A74" s="68"/>
      <x:c r="B74" s="68"/>
      <x:c r="C74" s="68"/>
      <x:c r="D74" s="68"/>
      <x:c r="E74" s="68"/>
      <x:c r="F74" s="68"/>
      <x:c r="G74" s="68"/>
      <x:c r="H74" s="68"/>
      <x:c r="I74" s="68"/>
      <x:c r="J74" s="68"/>
      <x:c r="K74" s="68"/>
      <x:c r="L74" s="68"/>
      <x:c r="M74" s="68"/>
      <x:c r="N74" s="68"/>
      <x:c r="O74" s="68"/>
      <x:c r="P74" s="68"/>
      <x:c r="Q74" s="68"/>
      <x:c r="R74" s="68"/>
    </x:row>
    <x:row r="75" ht="15" hidden="0" customHeight="1">
      <x:c r="A75" s="68"/>
      <x:c r="B75" s="68"/>
      <x:c r="C75" s="68"/>
      <x:c r="D75" s="68"/>
      <x:c r="E75" s="68"/>
      <x:c r="F75" s="68"/>
      <x:c r="G75" s="68"/>
      <x:c r="H75" s="68"/>
      <x:c r="I75" s="68"/>
      <x:c r="J75" s="68"/>
      <x:c r="K75" s="68"/>
      <x:c r="L75" s="68"/>
      <x:c r="M75" s="68"/>
      <x:c r="N75" s="68"/>
      <x:c r="O75" s="68"/>
      <x:c r="P75" s="68"/>
      <x:c r="Q75" s="68"/>
      <x:c r="R75" s="68"/>
    </x:row>
    <x:row r="76" ht="15" hidden="0" customHeight="1">
      <x:c r="A76" s="68"/>
      <x:c r="B76" s="68"/>
      <x:c r="C76" s="68"/>
      <x:c r="D76" s="68"/>
      <x:c r="E76" s="68"/>
      <x:c r="F76" s="68"/>
      <x:c r="G76" s="68"/>
      <x:c r="H76" s="68"/>
      <x:c r="I76" s="68"/>
      <x:c r="J76" s="68"/>
      <x:c r="K76" s="68"/>
      <x:c r="L76" s="68"/>
      <x:c r="M76" s="68"/>
      <x:c r="N76" s="68"/>
      <x:c r="O76" s="68"/>
      <x:c r="P76" s="68"/>
      <x:c r="Q76" s="68"/>
      <x:c r="R76" s="68"/>
    </x:row>
    <x:row r="77" ht="15" hidden="0" customHeight="1">
      <x:c r="A77" s="68"/>
      <x:c r="B77" s="68"/>
      <x:c r="C77" s="68"/>
      <x:c r="D77" s="68"/>
      <x:c r="E77" s="68"/>
      <x:c r="F77" s="68"/>
      <x:c r="G77" s="68"/>
      <x:c r="H77" s="68"/>
      <x:c r="I77" s="68"/>
      <x:c r="J77" s="68"/>
      <x:c r="K77" s="68"/>
      <x:c r="L77" s="68"/>
      <x:c r="M77" s="68"/>
      <x:c r="N77" s="68"/>
      <x:c r="O77" s="68"/>
      <x:c r="P77" s="68"/>
      <x:c r="Q77" s="68"/>
      <x:c r="R77" s="68"/>
    </x:row>
    <x:row r="78" ht="15" hidden="0" customHeight="1">
      <x:c r="A78" s="68"/>
      <x:c r="B78" s="68"/>
      <x:c r="C78" s="68"/>
      <x:c r="D78" s="68"/>
      <x:c r="E78" s="68"/>
      <x:c r="F78" s="68"/>
      <x:c r="G78" s="68"/>
      <x:c r="H78" s="68"/>
      <x:c r="I78" s="68"/>
      <x:c r="J78" s="68"/>
      <x:c r="K78" s="68"/>
      <x:c r="L78" s="68"/>
      <x:c r="M78" s="68"/>
      <x:c r="N78" s="68"/>
      <x:c r="O78" s="68"/>
      <x:c r="P78" s="68"/>
      <x:c r="Q78" s="68"/>
      <x:c r="R78" s="68"/>
    </x:row>
    <x:row r="79" ht="15" hidden="0" customHeight="1">
      <x:c r="A79" s="68"/>
      <x:c r="B79" s="68"/>
      <x:c r="C79" s="68"/>
      <x:c r="D79" s="68"/>
      <x:c r="E79" s="68"/>
      <x:c r="F79" s="68"/>
      <x:c r="G79" s="68"/>
      <x:c r="H79" s="68"/>
      <x:c r="I79" s="68"/>
      <x:c r="J79" s="68"/>
      <x:c r="K79" s="68"/>
      <x:c r="L79" s="68"/>
      <x:c r="M79" s="68"/>
      <x:c r="N79" s="68"/>
      <x:c r="O79" s="68"/>
      <x:c r="P79" s="68"/>
      <x:c r="Q79" s="68"/>
      <x:c r="R79" s="68"/>
    </x:row>
    <x:row r="80" ht="15" hidden="0" customHeight="1">
      <x:c r="A80" s="68"/>
      <x:c r="B80" s="68"/>
      <x:c r="C80" s="68"/>
      <x:c r="D80" s="68"/>
      <x:c r="E80" s="68"/>
      <x:c r="F80" s="68"/>
      <x:c r="G80" s="68"/>
      <x:c r="H80" s="68"/>
      <x:c r="I80" s="68"/>
      <x:c r="J80" s="68"/>
      <x:c r="K80" s="68"/>
      <x:c r="L80" s="68"/>
      <x:c r="M80" s="68"/>
      <x:c r="N80" s="68"/>
      <x:c r="O80" s="68"/>
      <x:c r="P80" s="68"/>
      <x:c r="Q80" s="68"/>
      <x:c r="R80" s="68"/>
    </x:row>
    <x:row r="81" ht="15" hidden="0" customHeight="1">
      <x:c r="A81" s="68"/>
      <x:c r="B81" s="68"/>
      <x:c r="C81" s="68"/>
      <x:c r="D81" s="68"/>
      <x:c r="E81" s="68"/>
      <x:c r="F81" s="68"/>
      <x:c r="G81" s="68"/>
      <x:c r="H81" s="68"/>
      <x:c r="I81" s="68"/>
      <x:c r="J81" s="68"/>
      <x:c r="K81" s="68"/>
      <x:c r="L81" s="68"/>
      <x:c r="M81" s="68"/>
      <x:c r="N81" s="68"/>
      <x:c r="O81" s="68"/>
      <x:c r="P81" s="68"/>
      <x:c r="Q81" s="68"/>
      <x:c r="R81" s="68"/>
    </x:row>
    <x:row r="82" ht="15" hidden="0" customHeight="1">
      <x:c r="A82" s="68"/>
      <x:c r="B82" s="68"/>
      <x:c r="C82" s="68"/>
      <x:c r="D82" s="68"/>
      <x:c r="E82" s="68"/>
      <x:c r="F82" s="68"/>
      <x:c r="G82" s="68"/>
      <x:c r="H82" s="68"/>
      <x:c r="I82" s="68"/>
      <x:c r="J82" s="68"/>
      <x:c r="K82" s="68"/>
      <x:c r="L82" s="68"/>
      <x:c r="M82" s="68"/>
      <x:c r="N82" s="68"/>
      <x:c r="O82" s="68"/>
      <x:c r="P82" s="68"/>
      <x:c r="Q82" s="68"/>
      <x:c r="R82" s="68"/>
    </x:row>
    <x:row r="83" ht="15" hidden="0" customHeight="1">
      <x:c r="A83" s="68"/>
      <x:c r="B83" s="68"/>
      <x:c r="C83" s="68"/>
      <x:c r="D83" s="68"/>
      <x:c r="E83" s="68"/>
      <x:c r="F83" s="68"/>
      <x:c r="G83" s="68"/>
      <x:c r="H83" s="68"/>
      <x:c r="I83" s="68"/>
      <x:c r="J83" s="68"/>
      <x:c r="K83" s="68"/>
      <x:c r="L83" s="68"/>
      <x:c r="M83" s="68"/>
      <x:c r="N83" s="68"/>
      <x:c r="O83" s="68"/>
      <x:c r="P83" s="68"/>
      <x:c r="Q83" s="68"/>
      <x:c r="R83" s="68"/>
    </x:row>
    <x:row r="84" ht="15" hidden="0" customHeight="1">
      <x:c r="A84" s="68"/>
      <x:c r="B84" s="68"/>
      <x:c r="C84" s="68"/>
      <x:c r="D84" s="68"/>
      <x:c r="E84" s="68"/>
      <x:c r="F84" s="68"/>
      <x:c r="G84" s="68"/>
      <x:c r="H84" s="68"/>
      <x:c r="I84" s="68"/>
      <x:c r="J84" s="68"/>
      <x:c r="K84" s="68"/>
      <x:c r="L84" s="68"/>
      <x:c r="M84" s="68"/>
      <x:c r="N84" s="68"/>
      <x:c r="O84" s="68"/>
      <x:c r="P84" s="68"/>
      <x:c r="Q84" s="68"/>
      <x:c r="R84" s="68"/>
    </x:row>
    <x:row r="85" ht="15" hidden="0" customHeight="1">
      <x:c r="A85" s="68"/>
      <x:c r="B85" s="68"/>
      <x:c r="C85" s="68"/>
      <x:c r="D85" s="68"/>
      <x:c r="E85" s="68"/>
      <x:c r="F85" s="68"/>
      <x:c r="G85" s="68"/>
      <x:c r="H85" s="68"/>
      <x:c r="I85" s="68"/>
      <x:c r="J85" s="68"/>
      <x:c r="K85" s="68"/>
      <x:c r="L85" s="68"/>
      <x:c r="M85" s="68"/>
      <x:c r="N85" s="68"/>
      <x:c r="O85" s="68"/>
      <x:c r="P85" s="68"/>
      <x:c r="Q85" s="68"/>
      <x:c r="R85" s="68"/>
    </x:row>
    <x:row r="86" ht="15" hidden="0" customHeight="1">
      <x:c r="A86" s="68"/>
      <x:c r="B86" s="68"/>
      <x:c r="C86" s="68"/>
      <x:c r="D86" s="68"/>
      <x:c r="E86" s="68"/>
      <x:c r="F86" s="68"/>
      <x:c r="G86" s="68"/>
      <x:c r="H86" s="68"/>
      <x:c r="I86" s="68"/>
      <x:c r="J86" s="68"/>
      <x:c r="K86" s="68"/>
      <x:c r="L86" s="68"/>
      <x:c r="M86" s="68"/>
      <x:c r="N86" s="68"/>
      <x:c r="O86" s="68"/>
      <x:c r="P86" s="68"/>
      <x:c r="Q86" s="68"/>
      <x:c r="R86" s="68"/>
    </x:row>
    <x:row r="87" ht="15" hidden="0" customHeight="1">
      <x:c r="A87" s="68"/>
      <x:c r="B87" s="68"/>
      <x:c r="C87" s="68"/>
      <x:c r="D87" s="68"/>
      <x:c r="E87" s="68"/>
      <x:c r="F87" s="68"/>
      <x:c r="G87" s="68"/>
      <x:c r="H87" s="68"/>
      <x:c r="I87" s="68"/>
      <x:c r="J87" s="68"/>
      <x:c r="K87" s="68"/>
      <x:c r="L87" s="68"/>
      <x:c r="M87" s="68"/>
      <x:c r="N87" s="68"/>
      <x:c r="O87" s="68"/>
      <x:c r="P87" s="68"/>
      <x:c r="Q87" s="68"/>
      <x:c r="R87" s="68"/>
    </x:row>
    <x:row r="88" ht="15" hidden="0" customHeight="1">
      <x:c r="A88" s="68"/>
      <x:c r="B88" s="68"/>
      <x:c r="C88" s="68"/>
      <x:c r="D88" s="68"/>
      <x:c r="E88" s="68"/>
      <x:c r="F88" s="68"/>
      <x:c r="G88" s="68"/>
      <x:c r="H88" s="68"/>
      <x:c r="I88" s="68"/>
      <x:c r="J88" s="68"/>
      <x:c r="K88" s="68"/>
      <x:c r="L88" s="68"/>
      <x:c r="M88" s="68"/>
      <x:c r="N88" s="68"/>
      <x:c r="O88" s="68"/>
      <x:c r="P88" s="68"/>
      <x:c r="Q88" s="68"/>
      <x:c r="R88" s="68"/>
    </x:row>
    <x:row r="89" ht="15" hidden="0" customHeight="1">
      <x:c r="A89" s="68"/>
      <x:c r="B89" s="68"/>
      <x:c r="C89" s="68"/>
      <x:c r="D89" s="68"/>
      <x:c r="E89" s="68"/>
      <x:c r="F89" s="68"/>
      <x:c r="G89" s="68"/>
      <x:c r="H89" s="68"/>
      <x:c r="I89" s="68"/>
      <x:c r="J89" s="68"/>
      <x:c r="K89" s="68"/>
      <x:c r="L89" s="68"/>
      <x:c r="M89" s="68"/>
      <x:c r="N89" s="68"/>
      <x:c r="O89" s="68"/>
      <x:c r="P89" s="68"/>
      <x:c r="Q89" s="68"/>
      <x:c r="R89" s="68"/>
    </x:row>
    <x:row r="90" ht="15" hidden="0" customHeight="1">
      <x:c r="A90" s="68"/>
      <x:c r="B90" s="68"/>
      <x:c r="C90" s="68"/>
      <x:c r="D90" s="68"/>
      <x:c r="E90" s="68"/>
      <x:c r="F90" s="68"/>
      <x:c r="G90" s="68"/>
      <x:c r="H90" s="68"/>
      <x:c r="I90" s="68"/>
      <x:c r="J90" s="68"/>
      <x:c r="K90" s="68"/>
      <x:c r="L90" s="68"/>
      <x:c r="M90" s="68"/>
      <x:c r="N90" s="68"/>
      <x:c r="O90" s="68"/>
      <x:c r="P90" s="68"/>
      <x:c r="Q90" s="68"/>
      <x:c r="R90" s="68"/>
    </x:row>
    <x:row r="91" ht="15" hidden="0" customHeight="1">
      <x:c r="A91" s="68"/>
      <x:c r="B91" s="68"/>
      <x:c r="C91" s="68"/>
      <x:c r="D91" s="68"/>
      <x:c r="E91" s="68"/>
      <x:c r="F91" s="68"/>
      <x:c r="G91" s="68"/>
      <x:c r="H91" s="68"/>
      <x:c r="I91" s="68"/>
      <x:c r="J91" s="68"/>
      <x:c r="K91" s="68"/>
      <x:c r="L91" s="68"/>
      <x:c r="M91" s="68"/>
      <x:c r="N91" s="68"/>
      <x:c r="O91" s="68"/>
      <x:c r="P91" s="68"/>
      <x:c r="Q91" s="68"/>
      <x:c r="R91" s="68"/>
    </x:row>
    <x:row r="92" ht="15" hidden="0" customHeight="1">
      <x:c r="A92" s="68"/>
      <x:c r="B92" s="68"/>
      <x:c r="C92" s="68"/>
      <x:c r="D92" s="68"/>
      <x:c r="E92" s="68"/>
      <x:c r="F92" s="68"/>
      <x:c r="G92" s="68"/>
      <x:c r="H92" s="68"/>
      <x:c r="I92" s="68"/>
      <x:c r="J92" s="68"/>
      <x:c r="K92" s="68"/>
      <x:c r="L92" s="68"/>
      <x:c r="M92" s="68"/>
      <x:c r="N92" s="68"/>
      <x:c r="O92" s="68"/>
      <x:c r="P92" s="68"/>
      <x:c r="Q92" s="68"/>
      <x:c r="R92" s="68"/>
    </x:row>
    <x:row r="93" ht="15" hidden="0" customHeight="1">
      <x:c r="A93" s="68"/>
      <x:c r="B93" s="68"/>
      <x:c r="C93" s="68"/>
      <x:c r="D93" s="68"/>
      <x:c r="E93" s="68"/>
      <x:c r="F93" s="68"/>
      <x:c r="G93" s="68"/>
      <x:c r="H93" s="68"/>
      <x:c r="I93" s="68"/>
      <x:c r="J93" s="68"/>
      <x:c r="K93" s="68"/>
      <x:c r="L93" s="68"/>
      <x:c r="M93" s="68"/>
      <x:c r="N93" s="68"/>
      <x:c r="O93" s="68"/>
      <x:c r="P93" s="68"/>
      <x:c r="Q93" s="68"/>
      <x:c r="R93" s="68"/>
    </x:row>
    <x:row r="94" ht="15" hidden="0" customHeight="1">
      <x:c r="A94" s="68"/>
      <x:c r="B94" s="68"/>
      <x:c r="C94" s="68"/>
      <x:c r="D94" s="68"/>
      <x:c r="E94" s="68"/>
      <x:c r="F94" s="68"/>
      <x:c r="G94" s="68"/>
      <x:c r="H94" s="68"/>
      <x:c r="I94" s="68"/>
      <x:c r="J94" s="68"/>
      <x:c r="K94" s="68"/>
      <x:c r="L94" s="68"/>
      <x:c r="M94" s="68"/>
      <x:c r="N94" s="68"/>
      <x:c r="O94" s="68"/>
      <x:c r="P94" s="68"/>
      <x:c r="Q94" s="68"/>
      <x:c r="R94" s="68"/>
    </x:row>
    <x:row r="95" ht="15" hidden="0" customHeight="1">
      <x:c r="A95" s="68"/>
      <x:c r="B95" s="68"/>
      <x:c r="C95" s="68"/>
      <x:c r="D95" s="68"/>
      <x:c r="E95" s="68"/>
      <x:c r="F95" s="68"/>
      <x:c r="G95" s="68"/>
      <x:c r="H95" s="68"/>
      <x:c r="I95" s="68"/>
      <x:c r="J95" s="68"/>
      <x:c r="K95" s="68"/>
      <x:c r="L95" s="68"/>
      <x:c r="M95" s="68"/>
      <x:c r="N95" s="68"/>
      <x:c r="O95" s="68"/>
      <x:c r="P95" s="68"/>
      <x:c r="Q95" s="68"/>
      <x:c r="R95" s="68"/>
    </x:row>
    <x:row r="96" ht="15" hidden="0" customHeight="1">
      <x:c r="A96" s="68"/>
      <x:c r="B96" s="68"/>
      <x:c r="C96" s="68"/>
      <x:c r="D96" s="68"/>
      <x:c r="E96" s="68"/>
      <x:c r="F96" s="68"/>
      <x:c r="G96" s="68"/>
      <x:c r="H96" s="68"/>
      <x:c r="I96" s="68"/>
      <x:c r="J96" s="68"/>
      <x:c r="K96" s="68"/>
      <x:c r="L96" s="68"/>
      <x:c r="M96" s="68"/>
      <x:c r="N96" s="68"/>
      <x:c r="O96" s="68"/>
      <x:c r="P96" s="68"/>
      <x:c r="Q96" s="68"/>
      <x:c r="R96" s="68"/>
    </x:row>
    <x:row r="97" ht="15" hidden="0" customHeight="1">
      <x:c r="A97" s="68"/>
      <x:c r="B97" s="68"/>
      <x:c r="C97" s="68"/>
      <x:c r="D97" s="68"/>
      <x:c r="E97" s="68"/>
      <x:c r="F97" s="68"/>
      <x:c r="G97" s="68"/>
      <x:c r="H97" s="68"/>
      <x:c r="I97" s="68"/>
      <x:c r="J97" s="68"/>
      <x:c r="K97" s="68"/>
      <x:c r="L97" s="68"/>
      <x:c r="M97" s="68"/>
      <x:c r="N97" s="68"/>
      <x:c r="O97" s="68"/>
      <x:c r="P97" s="68"/>
      <x:c r="Q97" s="68"/>
      <x:c r="R97" s="68"/>
    </x:row>
    <x:row r="98" ht="15" hidden="0" customHeight="1">
      <x:c r="A98" s="68"/>
      <x:c r="B98" s="68"/>
      <x:c r="C98" s="68"/>
      <x:c r="D98" s="68"/>
      <x:c r="E98" s="68"/>
      <x:c r="F98" s="68"/>
      <x:c r="G98" s="68"/>
      <x:c r="H98" s="68"/>
      <x:c r="I98" s="68"/>
      <x:c r="J98" s="68"/>
      <x:c r="K98" s="68"/>
      <x:c r="L98" s="68"/>
      <x:c r="M98" s="68"/>
      <x:c r="N98" s="68"/>
      <x:c r="O98" s="68"/>
      <x:c r="P98" s="68"/>
      <x:c r="Q98" s="68"/>
      <x:c r="R98" s="68"/>
    </x:row>
    <x:row r="99" ht="15" hidden="0" customHeight="1">
      <x:c r="A99" s="68"/>
      <x:c r="B99" s="68"/>
      <x:c r="C99" s="68"/>
      <x:c r="D99" s="68"/>
      <x:c r="E99" s="68"/>
      <x:c r="F99" s="68"/>
      <x:c r="G99" s="68"/>
      <x:c r="H99" s="68"/>
      <x:c r="I99" s="68"/>
      <x:c r="J99" s="68"/>
      <x:c r="K99" s="68"/>
      <x:c r="L99" s="68"/>
      <x:c r="M99" s="68"/>
      <x:c r="N99" s="68"/>
      <x:c r="O99" s="68"/>
      <x:c r="P99" s="68"/>
      <x:c r="Q99" s="68"/>
      <x:c r="R99" s="68"/>
    </x:row>
    <x:row r="100" ht="15" hidden="0" customHeight="1">
      <x:c r="A100" s="68"/>
      <x:c r="B100" s="68"/>
      <x:c r="C100" s="68"/>
      <x:c r="D100" s="68"/>
      <x:c r="E100" s="68"/>
      <x:c r="F100" s="68"/>
      <x:c r="G100" s="68"/>
      <x:c r="H100" s="68"/>
      <x:c r="I100" s="68"/>
      <x:c r="J100" s="68"/>
      <x:c r="K100" s="68"/>
      <x:c r="L100" s="68"/>
      <x:c r="M100" s="68"/>
      <x:c r="N100" s="68"/>
      <x:c r="O100" s="68"/>
      <x:c r="P100" s="68"/>
      <x:c r="Q100" s="68"/>
      <x:c r="R100" s="68"/>
    </x:row>
    <x:row r="101" ht="15" hidden="0" customHeight="1">
      <x:c r="A101" s="68"/>
      <x:c r="B101" s="68"/>
      <x:c r="C101" s="68"/>
      <x:c r="D101" s="68"/>
      <x:c r="E101" s="68"/>
      <x:c r="F101" s="68"/>
      <x:c r="G101" s="68"/>
      <x:c r="H101" s="68"/>
      <x:c r="I101" s="68"/>
      <x:c r="J101" s="68"/>
      <x:c r="K101" s="68"/>
      <x:c r="L101" s="68"/>
      <x:c r="M101" s="68"/>
      <x:c r="N101" s="68"/>
      <x:c r="O101" s="68"/>
      <x:c r="P101" s="68"/>
      <x:c r="Q101" s="68"/>
      <x:c r="R101" s="68"/>
    </x:row>
    <x:row r="102" ht="15" hidden="0" customHeight="1">
      <x:c r="A102" s="68"/>
      <x:c r="B102" s="68"/>
      <x:c r="C102" s="68"/>
      <x:c r="D102" s="68"/>
      <x:c r="E102" s="68"/>
      <x:c r="F102" s="68"/>
      <x:c r="G102" s="68"/>
      <x:c r="H102" s="68"/>
      <x:c r="I102" s="68"/>
      <x:c r="J102" s="68"/>
      <x:c r="K102" s="68"/>
      <x:c r="L102" s="68"/>
      <x:c r="M102" s="68"/>
      <x:c r="N102" s="68"/>
      <x:c r="O102" s="68"/>
      <x:c r="P102" s="68"/>
      <x:c r="Q102" s="68"/>
      <x:c r="R102" s="68"/>
    </x:row>
    <x:row r="103" ht="15" hidden="0" customHeight="1">
      <x:c r="A103" s="68"/>
      <x:c r="B103" s="68"/>
      <x:c r="C103" s="68"/>
      <x:c r="D103" s="68"/>
      <x:c r="E103" s="68"/>
      <x:c r="F103" s="68"/>
      <x:c r="G103" s="68"/>
      <x:c r="H103" s="68"/>
      <x:c r="I103" s="68"/>
      <x:c r="J103" s="68"/>
      <x:c r="K103" s="68"/>
      <x:c r="L103" s="68"/>
      <x:c r="M103" s="68"/>
      <x:c r="N103" s="68"/>
      <x:c r="O103" s="68"/>
      <x:c r="P103" s="68"/>
      <x:c r="Q103" s="68"/>
      <x:c r="R103" s="68"/>
    </x:row>
    <x:row r="104" ht="15" hidden="0" customHeight="1">
      <x:c r="A104" s="68"/>
      <x:c r="B104" s="68"/>
      <x:c r="C104" s="68"/>
      <x:c r="D104" s="68"/>
      <x:c r="E104" s="68"/>
      <x:c r="F104" s="68"/>
      <x:c r="G104" s="68"/>
      <x:c r="H104" s="68"/>
      <x:c r="I104" s="68"/>
      <x:c r="J104" s="68"/>
      <x:c r="K104" s="68"/>
      <x:c r="L104" s="68"/>
      <x:c r="M104" s="68"/>
      <x:c r="N104" s="68"/>
      <x:c r="O104" s="68"/>
      <x:c r="P104" s="68"/>
      <x:c r="Q104" s="68"/>
      <x:c r="R104" s="68"/>
    </x:row>
    <x:row r="105" ht="15" hidden="0" customHeight="1">
      <x:c r="A105" s="68"/>
      <x:c r="B105" s="68"/>
      <x:c r="C105" s="68"/>
      <x:c r="D105" s="68"/>
      <x:c r="E105" s="68"/>
      <x:c r="F105" s="68"/>
      <x:c r="G105" s="68"/>
      <x:c r="H105" s="68"/>
      <x:c r="I105" s="68"/>
      <x:c r="J105" s="68"/>
      <x:c r="K105" s="68"/>
      <x:c r="L105" s="68"/>
      <x:c r="M105" s="68"/>
      <x:c r="N105" s="68"/>
      <x:c r="O105" s="68"/>
      <x:c r="P105" s="68"/>
      <x:c r="Q105" s="68"/>
      <x:c r="R105" s="68"/>
    </x:row>
    <x:row r="106" ht="15" hidden="0" customHeight="1">
      <x:c r="A106" s="68"/>
      <x:c r="B106" s="68"/>
      <x:c r="C106" s="68"/>
      <x:c r="D106" s="68"/>
      <x:c r="E106" s="68"/>
      <x:c r="F106" s="68"/>
      <x:c r="G106" s="68"/>
      <x:c r="H106" s="68"/>
      <x:c r="I106" s="68"/>
      <x:c r="J106" s="68"/>
      <x:c r="K106" s="68"/>
      <x:c r="L106" s="68"/>
      <x:c r="M106" s="68"/>
      <x:c r="N106" s="68"/>
      <x:c r="O106" s="68"/>
      <x:c r="P106" s="68"/>
      <x:c r="Q106" s="68"/>
      <x:c r="R106" s="68"/>
    </x:row>
    <x:row r="107" ht="15" hidden="0" customHeight="1">
      <x:c r="A107" s="68"/>
      <x:c r="B107" s="68"/>
      <x:c r="C107" s="68"/>
      <x:c r="D107" s="68"/>
      <x:c r="E107" s="68"/>
      <x:c r="F107" s="68"/>
      <x:c r="G107" s="68"/>
      <x:c r="H107" s="68"/>
      <x:c r="I107" s="68"/>
      <x:c r="J107" s="68"/>
      <x:c r="K107" s="68"/>
      <x:c r="L107" s="68"/>
      <x:c r="M107" s="68"/>
      <x:c r="N107" s="68"/>
      <x:c r="O107" s="68"/>
      <x:c r="P107" s="68"/>
      <x:c r="Q107" s="68"/>
      <x:c r="R107" s="68"/>
    </x:row>
    <x:row r="108" ht="15" hidden="0" customHeight="1">
      <x:c r="A108" s="68"/>
      <x:c r="B108" s="68"/>
      <x:c r="C108" s="68"/>
      <x:c r="D108" s="68"/>
      <x:c r="E108" s="68"/>
      <x:c r="F108" s="68"/>
      <x:c r="G108" s="68"/>
      <x:c r="H108" s="68"/>
      <x:c r="I108" s="68"/>
      <x:c r="J108" s="68"/>
      <x:c r="K108" s="68"/>
      <x:c r="L108" s="68"/>
      <x:c r="M108" s="68"/>
      <x:c r="N108" s="68"/>
      <x:c r="O108" s="68"/>
      <x:c r="P108" s="68"/>
      <x:c r="Q108" s="68"/>
      <x:c r="R108" s="68"/>
    </x:row>
    <x:row r="109" ht="15" hidden="0" customHeight="1">
      <x:c r="A109" s="68"/>
      <x:c r="B109" s="68"/>
      <x:c r="C109" s="68"/>
      <x:c r="D109" s="68"/>
      <x:c r="E109" s="68"/>
      <x:c r="F109" s="68"/>
      <x:c r="G109" s="68"/>
      <x:c r="H109" s="68"/>
      <x:c r="I109" s="68"/>
      <x:c r="J109" s="68"/>
      <x:c r="K109" s="68"/>
      <x:c r="L109" s="68"/>
      <x:c r="M109" s="68"/>
      <x:c r="N109" s="68"/>
      <x:c r="O109" s="68"/>
      <x:c r="P109" s="68"/>
      <x:c r="Q109" s="68"/>
      <x:c r="R109" s="68"/>
    </x:row>
    <x:row r="110" ht="15" hidden="0" customHeight="1">
      <x:c r="A110" s="68"/>
      <x:c r="B110" s="68"/>
      <x:c r="C110" s="68"/>
      <x:c r="D110" s="68"/>
      <x:c r="E110" s="68"/>
      <x:c r="F110" s="68"/>
      <x:c r="G110" s="68"/>
      <x:c r="H110" s="68"/>
      <x:c r="I110" s="68"/>
      <x:c r="J110" s="68"/>
      <x:c r="K110" s="68"/>
      <x:c r="L110" s="68"/>
      <x:c r="M110" s="68"/>
      <x:c r="N110" s="68"/>
      <x:c r="O110" s="68"/>
      <x:c r="P110" s="68"/>
      <x:c r="Q110" s="68"/>
      <x:c r="R110" s="68"/>
    </x:row>
    <x:row r="111" ht="15" hidden="0" customHeight="1">
      <x:c r="A111" s="68"/>
      <x:c r="B111" s="68"/>
      <x:c r="C111" s="68"/>
      <x:c r="D111" s="68"/>
      <x:c r="E111" s="68"/>
      <x:c r="F111" s="68"/>
      <x:c r="G111" s="68"/>
      <x:c r="H111" s="68"/>
      <x:c r="I111" s="68"/>
      <x:c r="J111" s="68"/>
      <x:c r="K111" s="68"/>
      <x:c r="L111" s="68"/>
      <x:c r="M111" s="68"/>
      <x:c r="N111" s="68"/>
      <x:c r="O111" s="68"/>
      <x:c r="P111" s="68"/>
      <x:c r="Q111" s="68"/>
      <x:c r="R111" s="68"/>
    </x:row>
    <x:row r="112" ht="15" hidden="0" customHeight="1">
      <x:c r="A112" s="68"/>
      <x:c r="B112" s="68"/>
      <x:c r="C112" s="68"/>
      <x:c r="D112" s="68"/>
      <x:c r="E112" s="68"/>
      <x:c r="F112" s="68"/>
      <x:c r="G112" s="68"/>
      <x:c r="H112" s="68"/>
      <x:c r="I112" s="68"/>
      <x:c r="J112" s="68"/>
      <x:c r="K112" s="68"/>
      <x:c r="L112" s="68"/>
      <x:c r="M112" s="68"/>
      <x:c r="N112" s="68"/>
      <x:c r="O112" s="68"/>
      <x:c r="P112" s="68"/>
      <x:c r="Q112" s="68"/>
      <x:c r="R112" s="68"/>
    </x:row>
    <x:row r="113" ht="15" hidden="0" customHeight="1">
      <x:c r="A113" s="68"/>
      <x:c r="B113" s="68"/>
      <x:c r="C113" s="68"/>
      <x:c r="D113" s="68"/>
      <x:c r="E113" s="68"/>
      <x:c r="F113" s="68"/>
      <x:c r="G113" s="68"/>
      <x:c r="H113" s="68"/>
      <x:c r="I113" s="68"/>
      <x:c r="J113" s="68"/>
      <x:c r="K113" s="68"/>
      <x:c r="L113" s="68"/>
      <x:c r="M113" s="68"/>
      <x:c r="N113" s="68"/>
      <x:c r="O113" s="68"/>
      <x:c r="P113" s="68"/>
      <x:c r="Q113" s="68"/>
      <x:c r="R113" s="68"/>
    </x:row>
    <x:row r="114" ht="15" hidden="0" customHeight="1">
      <x:c r="A114" s="68"/>
      <x:c r="B114" s="68"/>
      <x:c r="C114" s="68"/>
      <x:c r="D114" s="68"/>
      <x:c r="E114" s="68"/>
      <x:c r="F114" s="68"/>
      <x:c r="G114" s="68"/>
      <x:c r="H114" s="68"/>
      <x:c r="I114" s="68"/>
      <x:c r="J114" s="68"/>
      <x:c r="K114" s="68"/>
      <x:c r="L114" s="68"/>
      <x:c r="M114" s="68"/>
      <x:c r="N114" s="68"/>
      <x:c r="O114" s="68"/>
      <x:c r="P114" s="68"/>
      <x:c r="Q114" s="68"/>
      <x:c r="R114" s="68"/>
    </x:row>
    <x:row r="115" ht="15" hidden="0" customHeight="1">
      <x:c r="A115" s="68"/>
      <x:c r="B115" s="68"/>
      <x:c r="C115" s="68"/>
      <x:c r="D115" s="68"/>
      <x:c r="E115" s="68"/>
      <x:c r="F115" s="68"/>
      <x:c r="G115" s="68"/>
      <x:c r="H115" s="68"/>
      <x:c r="I115" s="68"/>
      <x:c r="J115" s="68"/>
      <x:c r="K115" s="68"/>
      <x:c r="L115" s="68"/>
      <x:c r="M115" s="68"/>
      <x:c r="N115" s="68"/>
      <x:c r="O115" s="68"/>
      <x:c r="P115" s="68"/>
      <x:c r="Q115" s="68"/>
      <x:c r="R115" s="68"/>
    </x:row>
    <x:row r="116" ht="15" hidden="0" customHeight="1">
      <x:c r="A116" s="68"/>
      <x:c r="B116" s="68"/>
      <x:c r="C116" s="68"/>
      <x:c r="D116" s="68"/>
      <x:c r="E116" s="68"/>
      <x:c r="F116" s="68"/>
      <x:c r="G116" s="68"/>
      <x:c r="H116" s="68"/>
      <x:c r="I116" s="68"/>
      <x:c r="J116" s="68"/>
      <x:c r="K116" s="68"/>
      <x:c r="L116" s="68"/>
      <x:c r="M116" s="68"/>
      <x:c r="N116" s="68"/>
      <x:c r="O116" s="68"/>
      <x:c r="P116" s="68"/>
      <x:c r="Q116" s="68"/>
      <x:c r="R116" s="68"/>
    </x:row>
    <x:row r="117" ht="15" hidden="0" customHeight="1">
      <x:c r="A117" s="68"/>
      <x:c r="B117" s="68"/>
      <x:c r="C117" s="68"/>
      <x:c r="D117" s="68"/>
      <x:c r="E117" s="68"/>
      <x:c r="F117" s="68"/>
      <x:c r="G117" s="68"/>
      <x:c r="H117" s="68"/>
      <x:c r="I117" s="68"/>
      <x:c r="J117" s="68"/>
      <x:c r="K117" s="68"/>
      <x:c r="L117" s="68"/>
      <x:c r="M117" s="68"/>
      <x:c r="N117" s="68"/>
      <x:c r="O117" s="68"/>
      <x:c r="P117" s="68"/>
      <x:c r="Q117" s="68"/>
      <x:c r="R117" s="68"/>
    </x:row>
    <x:row r="118" ht="15" hidden="0" customHeight="1">
      <x:c r="A118" s="68"/>
      <x:c r="B118" s="68"/>
      <x:c r="C118" s="68"/>
      <x:c r="D118" s="68"/>
      <x:c r="E118" s="68"/>
      <x:c r="F118" s="68"/>
      <x:c r="G118" s="68"/>
      <x:c r="H118" s="68"/>
      <x:c r="I118" s="68"/>
      <x:c r="J118" s="68"/>
      <x:c r="K118" s="68"/>
      <x:c r="L118" s="68"/>
      <x:c r="M118" s="68"/>
      <x:c r="N118" s="68"/>
      <x:c r="O118" s="68"/>
      <x:c r="P118" s="68"/>
      <x:c r="Q118" s="68"/>
      <x:c r="R118" s="68"/>
    </x:row>
    <x:row r="119" ht="15" hidden="0" customHeight="1">
      <x:c r="A119" s="68"/>
      <x:c r="B119" s="68"/>
      <x:c r="C119" s="68"/>
      <x:c r="D119" s="68"/>
      <x:c r="E119" s="68"/>
      <x:c r="F119" s="68"/>
      <x:c r="G119" s="68"/>
      <x:c r="H119" s="68"/>
      <x:c r="I119" s="68"/>
      <x:c r="J119" s="68"/>
      <x:c r="K119" s="68"/>
      <x:c r="L119" s="68"/>
      <x:c r="M119" s="68"/>
      <x:c r="N119" s="68"/>
      <x:c r="O119" s="68"/>
      <x:c r="P119" s="68"/>
      <x:c r="Q119" s="68"/>
      <x:c r="R119" s="68"/>
    </x:row>
    <x:row r="120" ht="15" hidden="0" customHeight="1">
      <x:c r="A120" s="68"/>
      <x:c r="B120" s="68"/>
      <x:c r="C120" s="68"/>
      <x:c r="D120" s="68"/>
      <x:c r="E120" s="68"/>
      <x:c r="F120" s="68"/>
      <x:c r="G120" s="68"/>
      <x:c r="H120" s="68"/>
      <x:c r="I120" s="68"/>
      <x:c r="J120" s="68"/>
      <x:c r="K120" s="68"/>
      <x:c r="L120" s="68"/>
      <x:c r="M120" s="68"/>
      <x:c r="N120" s="68"/>
      <x:c r="O120" s="68"/>
      <x:c r="P120" s="68"/>
      <x:c r="Q120" s="68"/>
      <x:c r="R120" s="68"/>
    </x:row>
  </x:sheetData>
  <x:mergeCells>
    <x:mergeCell ref="C2:M2"/>
    <x:mergeCell ref="C3:M3"/>
    <x:mergeCell ref="C5:M5"/>
    <x:mergeCell ref="C17:G17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28" hidden="0" customWidth="1"/>
    <x:col min="4" max="4" width="13" hidden="0" customWidth="1"/>
    <x:col min="5" max="5" width="13" hidden="0" customWidth="1"/>
    <x:col min="6" max="6" width="13" hidden="0" customWidth="1"/>
    <x:col min="7" max="7" width="36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 ht="15" hidden="0" customHeight="1">
      <x:c r="A1" s="68"/>
      <x:c r="B1" s="68"/>
      <x:c r="C1" s="68"/>
      <x:c r="D1" s="68"/>
      <x:c r="E1" s="68"/>
      <x:c r="F1" s="68"/>
      <x:c r="G1" s="68"/>
      <x:c r="H1" s="68"/>
      <x:c r="I1" s="68"/>
      <x:c r="J1" s="68"/>
      <x:c r="K1" s="68"/>
      <x:c r="L1" s="68"/>
      <x:c r="M1" s="68"/>
      <x:c r="N1" s="68"/>
      <x:c r="O1" s="68"/>
      <x:c r="P1" s="68"/>
      <x:c r="Q1" s="68"/>
      <x:c r="R1" s="68"/>
    </x:row>
    <x:row r="2" ht="24" hidden="0" customHeight="1">
      <x:c r="A2" s="68"/>
      <x:c r="B2" s="68"/>
      <x:c r="C2" s="69" t="str">
        <x:v>Occupancy and Accommodation Demand</x:v>
      </x:c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</x:row>
    <x:row r="3" ht="24" hidden="0" customHeight="1">
      <x:c r="A3" s="68"/>
      <x:c r="B3" s="68"/>
      <x:c r="C3" s="71" t="str">
        <x:v>Stage 1 fills weekday inventory first. Revenue-uplift rows display in Rp billions.</x:v>
      </x:c>
      <x:c r="D3" s="68"/>
      <x:c r="E3" s="68"/>
      <x:c r="F3" s="68"/>
      <x:c r="G3" s="68"/>
      <x:c r="H3" s="68"/>
      <x:c r="I3" s="68"/>
      <x:c r="J3" s="68"/>
      <x:c r="K3" s="68"/>
      <x:c r="L3" s="68"/>
      <x:c r="M3" s="68"/>
      <x:c r="N3" s="68"/>
      <x:c r="O3" s="68"/>
      <x:c r="P3" s="68"/>
      <x:c r="Q3" s="68"/>
      <x:c r="R3" s="68"/>
    </x:row>
    <x:row r="4" ht="15" hidden="0" customHeight="1">
      <x:c r="A4" s="68"/>
      <x:c r="B4" s="68"/>
      <x:c r="C4" s="68"/>
      <x:c r="D4" s="68"/>
      <x:c r="E4" s="68"/>
      <x:c r="F4" s="68"/>
      <x:c r="G4" s="68"/>
      <x:c r="H4" s="68"/>
      <x:c r="I4" s="68"/>
      <x:c r="J4" s="68"/>
      <x:c r="K4" s="68"/>
      <x:c r="L4" s="68"/>
      <x:c r="M4" s="68"/>
      <x:c r="N4" s="68"/>
      <x:c r="O4" s="68"/>
      <x:c r="P4" s="68"/>
      <x:c r="Q4" s="68"/>
      <x:c r="R4" s="68"/>
    </x:row>
    <x:row r="5" ht="15" hidden="0" customHeight="1">
      <x:c r="A5" s="68"/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</x:row>
    <x:row r="6" ht="15" hidden="0" customHeight="1">
      <x:c r="A6" s="68"/>
      <x:c r="B6" s="68"/>
      <x:c r="C6" s="19" t="str">
        <x:v>Metric</x:v>
      </x:c>
      <x:c r="D6" s="19" t="str">
        <x:v>Year 1</x:v>
      </x:c>
      <x:c r="E6" s="19" t="str">
        <x:v>Year 2</x:v>
      </x:c>
      <x:c r="F6" s="19" t="str">
        <x:v>Year 3</x:v>
      </x:c>
      <x:c r="G6" s="19" t="str">
        <x:v>Year 4</x:v>
      </x:c>
      <x:c r="H6" s="19" t="str">
        <x:v>Year 5</x:v>
      </x:c>
      <x:c r="I6" s="19" t="str">
        <x:v>Year 6</x:v>
      </x:c>
      <x:c r="J6" s="19" t="str">
        <x:v>Year 7</x:v>
      </x:c>
      <x:c r="K6" s="19" t="str">
        <x:v>Year 8</x:v>
      </x:c>
      <x:c r="L6" s="19" t="str">
        <x:v>Year 9</x:v>
      </x:c>
      <x:c r="M6" s="19" t="str">
        <x:v>Year 10</x:v>
      </x:c>
      <x:c r="N6" s="19" t="str">
        <x:v>Year 11</x:v>
      </x:c>
      <x:c r="O6" s="19" t="str">
        <x:v>Year 12</x:v>
      </x:c>
      <x:c r="P6" s="19" t="str">
        <x:v>Year 13</x:v>
      </x:c>
      <x:c r="Q6" s="19" t="str">
        <x:v>Year 14</x:v>
      </x:c>
      <x:c r="R6" s="19" t="str">
        <x:v>Year 15</x:v>
      </x:c>
    </x:row>
    <x:row r="7" ht="15" hidden="0" customHeight="1">
      <x:c r="A7" s="68"/>
      <x:c r="B7" s="68"/>
      <x:c r="C7" s="68" t="str">
        <x:v>Package ramp</x:v>
      </x:c>
      <x:c r="D7" s="88" t="n">
        <x:f>'Assumptions'!D60</x:f>
        <x:v>0.35</x:v>
      </x:c>
      <x:c r="E7" s="88" t="n">
        <x:f>'Assumptions'!E60</x:f>
        <x:v>0.5</x:v>
      </x:c>
      <x:c r="F7" s="88" t="n">
        <x:f>'Assumptions'!F60</x:f>
        <x:v>0.65</x:v>
      </x:c>
      <x:c r="G7" s="88" t="n">
        <x:f>'Assumptions'!G60</x:f>
        <x:v>0.8</x:v>
      </x:c>
      <x:c r="H7" s="88" t="n">
        <x:f>'Assumptions'!H60</x:f>
        <x:v>0.9</x:v>
      </x:c>
      <x:c r="I7" s="88" t="n">
        <x:f>'Assumptions'!I60</x:f>
        <x:v>1</x:v>
      </x:c>
      <x:c r="J7" s="88" t="n">
        <x:f>'Assumptions'!J60</x:f>
        <x:v>1</x:v>
      </x:c>
      <x:c r="K7" s="88" t="n">
        <x:f>'Assumptions'!K60</x:f>
        <x:v>1</x:v>
      </x:c>
      <x:c r="L7" s="88" t="n">
        <x:f>'Assumptions'!L60</x:f>
        <x:v>1</x:v>
      </x:c>
      <x:c r="M7" s="88" t="n">
        <x:f>'Assumptions'!M60</x:f>
        <x:v>1</x:v>
      </x:c>
      <x:c r="N7" s="88" t="n">
        <x:f>'Assumptions'!N60</x:f>
        <x:v>1</x:v>
      </x:c>
      <x:c r="O7" s="88" t="n">
        <x:f>'Assumptions'!O60</x:f>
        <x:v>1</x:v>
      </x:c>
      <x:c r="P7" s="88" t="n">
        <x:f>'Assumptions'!P60</x:f>
        <x:v>1</x:v>
      </x:c>
      <x:c r="Q7" s="88" t="n">
        <x:f>'Assumptions'!Q60</x:f>
        <x:v>1</x:v>
      </x:c>
      <x:c r="R7" s="88" t="n">
        <x:f>'Assumptions'!R60</x:f>
        <x:v>1</x:v>
      </x:c>
    </x:row>
    <x:row r="8" ht="15" hidden="0" customHeight="1">
      <x:c r="A8" s="68"/>
      <x:c r="B8" s="68"/>
      <x:c r="C8" s="68" t="str">
        <x:v>Package utilization</x:v>
      </x:c>
      <x:c r="D8" s="88" t="n">
        <x:f>MIN(100%,'Assumptions'!$H$11*D7)</x:f>
        <x:v>0.315</x:v>
      </x:c>
      <x:c r="E8" s="88" t="n">
        <x:f>MIN(100%,'Assumptions'!$H$11*E7)</x:f>
        <x:v>0.45</x:v>
      </x:c>
      <x:c r="F8" s="88" t="n">
        <x:f>MIN(100%,'Assumptions'!$H$11*F7)</x:f>
        <x:v>0.5850000000000001</x:v>
      </x:c>
      <x:c r="G8" s="88" t="n">
        <x:f>MIN(100%,'Assumptions'!$H$11*G7)</x:f>
        <x:v>0.7200000000000001</x:v>
      </x:c>
      <x:c r="H8" s="88" t="n">
        <x:f>MIN(100%,'Assumptions'!$H$11*H7)</x:f>
        <x:v>0.81</x:v>
      </x:c>
      <x:c r="I8" s="88" t="n">
        <x:f>MIN(100%,'Assumptions'!$H$11*I7)</x:f>
        <x:v>0.9</x:v>
      </x:c>
      <x:c r="J8" s="88" t="n">
        <x:f>MIN(100%,'Assumptions'!$H$11*J7)</x:f>
        <x:v>0.9</x:v>
      </x:c>
      <x:c r="K8" s="88" t="n">
        <x:f>MIN(100%,'Assumptions'!$H$11*K7)</x:f>
        <x:v>0.9</x:v>
      </x:c>
      <x:c r="L8" s="88" t="n">
        <x:f>MIN(100%,'Assumptions'!$H$11*L7)</x:f>
        <x:v>0.9</x:v>
      </x:c>
      <x:c r="M8" s="88" t="n">
        <x:f>MIN(100%,'Assumptions'!$H$11*M7)</x:f>
        <x:v>0.9</x:v>
      </x:c>
      <x:c r="N8" s="88" t="n">
        <x:f>MIN(100%,'Assumptions'!$H$11*N7)</x:f>
        <x:v>0.9</x:v>
      </x:c>
      <x:c r="O8" s="88" t="n">
        <x:f>MIN(100%,'Assumptions'!$H$11*O7)</x:f>
        <x:v>0.9</x:v>
      </x:c>
      <x:c r="P8" s="88" t="n">
        <x:f>MIN(100%,'Assumptions'!$H$11*P7)</x:f>
        <x:v>0.9</x:v>
      </x:c>
      <x:c r="Q8" s="88" t="n">
        <x:f>MIN(100%,'Assumptions'!$H$11*Q7)</x:f>
        <x:v>0.9</x:v>
      </x:c>
      <x:c r="R8" s="88" t="n">
        <x:f>MIN(100%,'Assumptions'!$H$11*R7)</x:f>
        <x:v>0.9</x:v>
      </x:c>
    </x:row>
    <x:row r="9" ht="15" hidden="0" customHeight="1">
      <x:c r="A9" s="68"/>
      <x:c r="B9" s="68"/>
      <x:c r="C9" s="68" t="str">
        <x:v>Package guests</x:v>
      </x:c>
      <x:c r="D9" s="68" t="n">
        <x:f>'Assumptions'!$D$26*D8*'Assumptions'!$H$10</x:f>
        <x:v>8316</x:v>
      </x:c>
      <x:c r="E9" s="68" t="n">
        <x:f>'Assumptions'!$D$26*E8*'Assumptions'!$H$10</x:f>
        <x:v>11880</x:v>
      </x:c>
      <x:c r="F9" s="68" t="n">
        <x:f>'Assumptions'!$D$26*F8*'Assumptions'!$H$10</x:f>
        <x:v>15444.000000000002</x:v>
      </x:c>
      <x:c r="G9" s="68" t="n">
        <x:f>'Assumptions'!$D$26*G8*'Assumptions'!$H$10</x:f>
        <x:v>19008.000000000004</x:v>
      </x:c>
      <x:c r="H9" s="68" t="n">
        <x:f>'Assumptions'!$D$26*H8*'Assumptions'!$H$10</x:f>
        <x:v>21384.000000000004</x:v>
      </x:c>
      <x:c r="I9" s="68" t="n">
        <x:f>'Assumptions'!$D$26*I8*'Assumptions'!$H$10</x:f>
        <x:v>23760</x:v>
      </x:c>
      <x:c r="J9" s="68" t="n">
        <x:f>'Assumptions'!$D$26*J8*'Assumptions'!$H$10</x:f>
        <x:v>23760</x:v>
      </x:c>
      <x:c r="K9" s="68" t="n">
        <x:f>'Assumptions'!$D$26*K8*'Assumptions'!$H$10</x:f>
        <x:v>23760</x:v>
      </x:c>
      <x:c r="L9" s="68" t="n">
        <x:f>'Assumptions'!$D$26*L8*'Assumptions'!$H$10</x:f>
        <x:v>23760</x:v>
      </x:c>
      <x:c r="M9" s="68" t="n">
        <x:f>'Assumptions'!$D$26*M8*'Assumptions'!$H$10</x:f>
        <x:v>23760</x:v>
      </x:c>
      <x:c r="N9" s="68" t="n">
        <x:f>'Assumptions'!$D$26*N8*'Assumptions'!$H$10</x:f>
        <x:v>23760</x:v>
      </x:c>
      <x:c r="O9" s="68" t="n">
        <x:f>'Assumptions'!$D$26*O8*'Assumptions'!$H$10</x:f>
        <x:v>23760</x:v>
      </x:c>
      <x:c r="P9" s="68" t="n">
        <x:f>'Assumptions'!$D$26*P8*'Assumptions'!$H$10</x:f>
        <x:v>23760</x:v>
      </x:c>
      <x:c r="Q9" s="68" t="n">
        <x:f>'Assumptions'!$D$26*Q8*'Assumptions'!$H$10</x:f>
        <x:v>23760</x:v>
      </x:c>
      <x:c r="R9" s="68" t="n">
        <x:f>'Assumptions'!$D$26*R8*'Assumptions'!$H$10</x:f>
        <x:v>23760</x:v>
      </x:c>
    </x:row>
    <x:row r="10" ht="15" hidden="0" customHeight="1">
      <x:c r="A10" s="68"/>
      <x:c r="B10" s="68"/>
      <x:c r="C10" s="68" t="str">
        <x:v>Package rooms/night</x:v>
      </x:c>
      <x:c r="D10" s="68" t="n">
        <x:f>'Assumptions'!$D$26*D8/'Assumptions'!$D$22</x:f>
        <x:v>94.5</x:v>
      </x:c>
      <x:c r="E10" s="68" t="n">
        <x:f>'Assumptions'!$D$26*E8/'Assumptions'!$D$22</x:f>
        <x:v>135</x:v>
      </x:c>
      <x:c r="F10" s="68" t="n">
        <x:f>'Assumptions'!$D$26*F8/'Assumptions'!$D$22</x:f>
        <x:v>175.50000000000003</x:v>
      </x:c>
      <x:c r="G10" s="68" t="n">
        <x:f>'Assumptions'!$D$26*G8/'Assumptions'!$D$22</x:f>
        <x:v>216.00000000000003</x:v>
      </x:c>
      <x:c r="H10" s="68" t="n">
        <x:f>'Assumptions'!$D$26*H8/'Assumptions'!$D$22</x:f>
        <x:v>243.00000000000003</x:v>
      </x:c>
      <x:c r="I10" s="68" t="n">
        <x:f>'Assumptions'!$D$26*I8/'Assumptions'!$D$22</x:f>
        <x:v>270</x:v>
      </x:c>
      <x:c r="J10" s="68" t="n">
        <x:f>'Assumptions'!$D$26*J8/'Assumptions'!$D$22</x:f>
        <x:v>270</x:v>
      </x:c>
      <x:c r="K10" s="68" t="n">
        <x:f>'Assumptions'!$D$26*K8/'Assumptions'!$D$22</x:f>
        <x:v>270</x:v>
      </x:c>
      <x:c r="L10" s="68" t="n">
        <x:f>'Assumptions'!$D$26*L8/'Assumptions'!$D$22</x:f>
        <x:v>270</x:v>
      </x:c>
      <x:c r="M10" s="68" t="n">
        <x:f>'Assumptions'!$D$26*M8/'Assumptions'!$D$22</x:f>
        <x:v>270</x:v>
      </x:c>
      <x:c r="N10" s="68" t="n">
        <x:f>'Assumptions'!$D$26*N8/'Assumptions'!$D$22</x:f>
        <x:v>270</x:v>
      </x:c>
      <x:c r="O10" s="68" t="n">
        <x:f>'Assumptions'!$D$26*O8/'Assumptions'!$D$22</x:f>
        <x:v>270</x:v>
      </x:c>
      <x:c r="P10" s="68" t="n">
        <x:f>'Assumptions'!$D$26*P8/'Assumptions'!$D$22</x:f>
        <x:v>270</x:v>
      </x:c>
      <x:c r="Q10" s="68" t="n">
        <x:f>'Assumptions'!$D$26*Q8/'Assumptions'!$D$22</x:f>
        <x:v>270</x:v>
      </x:c>
      <x:c r="R10" s="68" t="n">
        <x:f>'Assumptions'!$D$26*R8/'Assumptions'!$D$22</x:f>
        <x:v>270</x:v>
      </x:c>
    </x:row>
    <x:row r="11" ht="15" hidden="0" customHeight="1">
      <x:c r="A11" s="68"/>
      <x:c r="B11" s="68"/>
      <x:c r="C11" s="68" t="str">
        <x:v>Incremental room-nights</x:v>
      </x:c>
      <x:c r="D11" s="68" t="n">
        <x:f>(MIN('Assumptions'!$D$21,'Assumptions'!$D$21*'Assumptions'!$D$24+D10)-'Assumptions'!$D$21*'Assumptions'!$D$24)*'Assumptions'!$D$27*'Assumptions'!$H$10</x:f>
        <x:v>16632</x:v>
      </x:c>
      <x:c r="E11" s="68" t="n">
        <x:f>(MIN('Assumptions'!$D$21,'Assumptions'!$D$21*'Assumptions'!$D$24+E10)-'Assumptions'!$D$21*'Assumptions'!$D$24)*'Assumptions'!$D$27*'Assumptions'!$H$10</x:f>
        <x:v>23760</x:v>
      </x:c>
      <x:c r="F11" s="68" t="n">
        <x:f>(MIN('Assumptions'!$D$21,'Assumptions'!$D$21*'Assumptions'!$D$24+F10)-'Assumptions'!$D$21*'Assumptions'!$D$24)*'Assumptions'!$D$27*'Assumptions'!$H$10</x:f>
        <x:v>30888.000000000004</x:v>
      </x:c>
      <x:c r="G11" s="68" t="n">
        <x:f>(MIN('Assumptions'!$D$21,'Assumptions'!$D$21*'Assumptions'!$D$24+G10)-'Assumptions'!$D$21*'Assumptions'!$D$24)*'Assumptions'!$D$27*'Assumptions'!$H$10</x:f>
        <x:v>38016.00000000001</x:v>
      </x:c>
      <x:c r="H11" s="68" t="n">
        <x:f>(MIN('Assumptions'!$D$21,'Assumptions'!$D$21*'Assumptions'!$D$24+H10)-'Assumptions'!$D$21*'Assumptions'!$D$24)*'Assumptions'!$D$27*'Assumptions'!$H$10</x:f>
        <x:v>42768</x:v>
      </x:c>
      <x:c r="I11" s="68" t="n">
        <x:f>(MIN('Assumptions'!$D$21,'Assumptions'!$D$21*'Assumptions'!$D$24+I10)-'Assumptions'!$D$21*'Assumptions'!$D$24)*'Assumptions'!$D$27*'Assumptions'!$H$10</x:f>
        <x:v>47520</x:v>
      </x:c>
      <x:c r="J11" s="68" t="n">
        <x:f>(MIN('Assumptions'!$D$21,'Assumptions'!$D$21*'Assumptions'!$D$24+J10)-'Assumptions'!$D$21*'Assumptions'!$D$24)*'Assumptions'!$D$27*'Assumptions'!$H$10</x:f>
        <x:v>47520</x:v>
      </x:c>
      <x:c r="K11" s="68" t="n">
        <x:f>(MIN('Assumptions'!$D$21,'Assumptions'!$D$21*'Assumptions'!$D$24+K10)-'Assumptions'!$D$21*'Assumptions'!$D$24)*'Assumptions'!$D$27*'Assumptions'!$H$10</x:f>
        <x:v>47520</x:v>
      </x:c>
      <x:c r="L11" s="68" t="n">
        <x:f>(MIN('Assumptions'!$D$21,'Assumptions'!$D$21*'Assumptions'!$D$24+L10)-'Assumptions'!$D$21*'Assumptions'!$D$24)*'Assumptions'!$D$27*'Assumptions'!$H$10</x:f>
        <x:v>47520</x:v>
      </x:c>
      <x:c r="M11" s="68" t="n">
        <x:f>(MIN('Assumptions'!$D$21,'Assumptions'!$D$21*'Assumptions'!$D$24+M10)-'Assumptions'!$D$21*'Assumptions'!$D$24)*'Assumptions'!$D$27*'Assumptions'!$H$10</x:f>
        <x:v>47520</x:v>
      </x:c>
      <x:c r="N11" s="68" t="n">
        <x:f>(MIN('Assumptions'!$D$21,'Assumptions'!$D$21*'Assumptions'!$D$24+N10)-'Assumptions'!$D$21*'Assumptions'!$D$24)*'Assumptions'!$D$27*'Assumptions'!$H$10</x:f>
        <x:v>47520</x:v>
      </x:c>
      <x:c r="O11" s="68" t="n">
        <x:f>(MIN('Assumptions'!$D$21,'Assumptions'!$D$21*'Assumptions'!$D$24+O10)-'Assumptions'!$D$21*'Assumptions'!$D$24)*'Assumptions'!$D$27*'Assumptions'!$H$10</x:f>
        <x:v>47520</x:v>
      </x:c>
      <x:c r="P11" s="68" t="n">
        <x:f>(MIN('Assumptions'!$D$21,'Assumptions'!$D$21*'Assumptions'!$D$24+P10)-'Assumptions'!$D$21*'Assumptions'!$D$24)*'Assumptions'!$D$27*'Assumptions'!$H$10</x:f>
        <x:v>47520</x:v>
      </x:c>
      <x:c r="Q11" s="68" t="n">
        <x:f>(MIN('Assumptions'!$D$21,'Assumptions'!$D$21*'Assumptions'!$D$24+Q10)-'Assumptions'!$D$21*'Assumptions'!$D$24)*'Assumptions'!$D$27*'Assumptions'!$H$10</x:f>
        <x:v>47520</x:v>
      </x:c>
      <x:c r="R11" s="68" t="n">
        <x:f>(MIN('Assumptions'!$D$21,'Assumptions'!$D$21*'Assumptions'!$D$24+R10)-'Assumptions'!$D$21*'Assumptions'!$D$24)*'Assumptions'!$D$27*'Assumptions'!$H$10</x:f>
        <x:v>47520</x:v>
      </x:c>
    </x:row>
    <x:row r="12" ht="15" hidden="0" customHeight="1">
      <x:c r="A12" s="68"/>
      <x:c r="B12" s="68"/>
      <x:c r="C12" s="68" t="str">
        <x:v>Annual occupancy</x:v>
      </x:c>
      <x:c r="D12" s="88" t="n">
        <x:f>MIN(100%,('Assumptions'!$D$21*365*'Assumptions'!$D$23+D11)/('Assumptions'!$D$21*365))</x:f>
        <x:v>0.4018904109589041</x:v>
      </x:c>
      <x:c r="E12" s="88" t="n">
        <x:f>MIN(100%,('Assumptions'!$D$21*365*'Assumptions'!$D$23+E11)/('Assumptions'!$D$21*365))</x:f>
        <x:v>0.466986301369863</x:v>
      </x:c>
      <x:c r="F12" s="88" t="n">
        <x:f>MIN(100%,('Assumptions'!$D$21*365*'Assumptions'!$D$23+F11)/('Assumptions'!$D$21*365))</x:f>
        <x:v>0.532082191780822</x:v>
      </x:c>
      <x:c r="G12" s="88" t="n">
        <x:f>MIN(100%,('Assumptions'!$D$21*365*'Assumptions'!$D$23+G11)/('Assumptions'!$D$21*365))</x:f>
        <x:v>0.5971780821917809</x:v>
      </x:c>
      <x:c r="H12" s="88" t="n">
        <x:f>MIN(100%,('Assumptions'!$D$21*365*'Assumptions'!$D$23+H11)/('Assumptions'!$D$21*365))</x:f>
        <x:v>0.6405753424657534</x:v>
      </x:c>
      <x:c r="I12" s="88" t="n">
        <x:f>MIN(100%,('Assumptions'!$D$21*365*'Assumptions'!$D$23+I11)/('Assumptions'!$D$21*365))</x:f>
        <x:v>0.683972602739726</x:v>
      </x:c>
      <x:c r="J12" s="88" t="n">
        <x:f>MIN(100%,('Assumptions'!$D$21*365*'Assumptions'!$D$23+J11)/('Assumptions'!$D$21*365))</x:f>
        <x:v>0.683972602739726</x:v>
      </x:c>
      <x:c r="K12" s="88" t="n">
        <x:f>MIN(100%,('Assumptions'!$D$21*365*'Assumptions'!$D$23+K11)/('Assumptions'!$D$21*365))</x:f>
        <x:v>0.683972602739726</x:v>
      </x:c>
      <x:c r="L12" s="88" t="n">
        <x:f>MIN(100%,('Assumptions'!$D$21*365*'Assumptions'!$D$23+L11)/('Assumptions'!$D$21*365))</x:f>
        <x:v>0.683972602739726</x:v>
      </x:c>
      <x:c r="M12" s="88" t="n">
        <x:f>MIN(100%,('Assumptions'!$D$21*365*'Assumptions'!$D$23+M11)/('Assumptions'!$D$21*365))</x:f>
        <x:v>0.683972602739726</x:v>
      </x:c>
      <x:c r="N12" s="88" t="n">
        <x:f>MIN(100%,('Assumptions'!$D$21*365*'Assumptions'!$D$23+N11)/('Assumptions'!$D$21*365))</x:f>
        <x:v>0.683972602739726</x:v>
      </x:c>
      <x:c r="O12" s="88" t="n">
        <x:f>MIN(100%,('Assumptions'!$D$21*365*'Assumptions'!$D$23+O11)/('Assumptions'!$D$21*365))</x:f>
        <x:v>0.683972602739726</x:v>
      </x:c>
      <x:c r="P12" s="88" t="n">
        <x:f>MIN(100%,('Assumptions'!$D$21*365*'Assumptions'!$D$23+P11)/('Assumptions'!$D$21*365))</x:f>
        <x:v>0.683972602739726</x:v>
      </x:c>
      <x:c r="Q12" s="88" t="n">
        <x:f>MIN(100%,('Assumptions'!$D$21*365*'Assumptions'!$D$23+Q11)/('Assumptions'!$D$21*365))</x:f>
        <x:v>0.683972602739726</x:v>
      </x:c>
      <x:c r="R12" s="88" t="n">
        <x:f>MIN(100%,('Assumptions'!$D$21*365*'Assumptions'!$D$23+R11)/('Assumptions'!$D$21*365))</x:f>
        <x:v>0.683972602739726</x:v>
      </x:c>
    </x:row>
    <x:row r="13" ht="15" hidden="0" customHeight="1">
      <x:c r="A13" s="68"/>
      <x:c r="B13" s="68"/>
      <x:c r="C13" s="68" t="str">
        <x:v>Active-week occupancy</x:v>
      </x:c>
      <x:c r="D13" s="88" t="n">
        <x:f>(4*MIN(100%,'Assumptions'!$D$24+D10/'Assumptions'!$D$21)+30%+100%+25%)/7</x:f>
        <x:v>0.43</x:v>
      </x:c>
      <x:c r="E13" s="88" t="n">
        <x:f>(4*MIN(100%,'Assumptions'!$D$24+E10/'Assumptions'!$D$21)+30%+100%+25%)/7</x:f>
        <x:v>0.5071428571428571</x:v>
      </x:c>
      <x:c r="F13" s="88" t="n">
        <x:f>(4*MIN(100%,'Assumptions'!$D$24+F10/'Assumptions'!$D$21)+30%+100%+25%)/7</x:f>
        <x:v>0.5842857142857143</x:v>
      </x:c>
      <x:c r="G13" s="88" t="n">
        <x:f>(4*MIN(100%,'Assumptions'!$D$24+G10/'Assumptions'!$D$21)+30%+100%+25%)/7</x:f>
        <x:v>0.6614285714285716</x:v>
      </x:c>
      <x:c r="H13" s="88" t="n">
        <x:f>(4*MIN(100%,'Assumptions'!$D$24+H10/'Assumptions'!$D$21)+30%+100%+25%)/7</x:f>
        <x:v>0.7128571428571429</x:v>
      </x:c>
      <x:c r="I13" s="88" t="n">
        <x:f>(4*MIN(100%,'Assumptions'!$D$24+I10/'Assumptions'!$D$21)+30%+100%+25%)/7</x:f>
        <x:v>0.7642857142857143</x:v>
      </x:c>
      <x:c r="J13" s="88" t="n">
        <x:f>(4*MIN(100%,'Assumptions'!$D$24+J10/'Assumptions'!$D$21)+30%+100%+25%)/7</x:f>
        <x:v>0.7642857142857143</x:v>
      </x:c>
      <x:c r="K13" s="88" t="n">
        <x:f>(4*MIN(100%,'Assumptions'!$D$24+K10/'Assumptions'!$D$21)+30%+100%+25%)/7</x:f>
        <x:v>0.7642857142857143</x:v>
      </x:c>
      <x:c r="L13" s="88" t="n">
        <x:f>(4*MIN(100%,'Assumptions'!$D$24+L10/'Assumptions'!$D$21)+30%+100%+25%)/7</x:f>
        <x:v>0.7642857142857143</x:v>
      </x:c>
      <x:c r="M13" s="88" t="n">
        <x:f>(4*MIN(100%,'Assumptions'!$D$24+M10/'Assumptions'!$D$21)+30%+100%+25%)/7</x:f>
        <x:v>0.7642857142857143</x:v>
      </x:c>
      <x:c r="N13" s="88" t="n">
        <x:f>(4*MIN(100%,'Assumptions'!$D$24+N10/'Assumptions'!$D$21)+30%+100%+25%)/7</x:f>
        <x:v>0.7642857142857143</x:v>
      </x:c>
      <x:c r="O13" s="88" t="n">
        <x:f>(4*MIN(100%,'Assumptions'!$D$24+O10/'Assumptions'!$D$21)+30%+100%+25%)/7</x:f>
        <x:v>0.7642857142857143</x:v>
      </x:c>
      <x:c r="P13" s="88" t="n">
        <x:f>(4*MIN(100%,'Assumptions'!$D$24+P10/'Assumptions'!$D$21)+30%+100%+25%)/7</x:f>
        <x:v>0.7642857142857143</x:v>
      </x:c>
      <x:c r="Q13" s="88" t="n">
        <x:f>(4*MIN(100%,'Assumptions'!$D$24+Q10/'Assumptions'!$D$21)+30%+100%+25%)/7</x:f>
        <x:v>0.7642857142857143</x:v>
      </x:c>
      <x:c r="R13" s="88" t="n">
        <x:f>(4*MIN(100%,'Assumptions'!$D$24+R10/'Assumptions'!$D$21)+30%+100%+25%)/7</x:f>
        <x:v>0.7642857142857143</x:v>
      </x:c>
    </x:row>
    <x:row r="14" ht="15" hidden="0" customHeight="1">
      <x:c r="A14" s="68"/>
      <x:c r="B14" s="68"/>
      <x:c r="C14" s="68" t="str">
        <x:v>Room revenue uplift</x:v>
      </x:c>
      <x:c r="D14" s="101" t="n">
        <x:f>D11*'Assumptions'!$D$25*(1+'Assumptions'!$D$37)^0</x:f>
        <x:v>16632000000</x:v>
      </x:c>
      <x:c r="E14" s="101" t="n">
        <x:f>E11*'Assumptions'!$D$25*(1+'Assumptions'!$D$37)^1</x:f>
        <x:v>24472800000</x:v>
      </x:c>
      <x:c r="F14" s="101" t="n">
        <x:f>F11*'Assumptions'!$D$25*(1+'Assumptions'!$D$37)^2</x:f>
        <x:v>32769079200.000004</x:v>
      </x:c>
      <x:c r="G14" s="101" t="n">
        <x:f>G11*'Assumptions'!$D$25*(1+'Assumptions'!$D$37)^3</x:f>
        <x:v>41541109632.00001</x:v>
      </x:c>
      <x:c r="H14" s="101" t="n">
        <x:f>H11*'Assumptions'!$D$25*(1+'Assumptions'!$D$37)^4</x:f>
        <x:v>48135760786.08001</x:v>
      </x:c>
      <x:c r="I14" s="101" t="n">
        <x:f>I11*'Assumptions'!$D$25*(1+'Assumptions'!$D$37)^5</x:f>
        <x:v>55088704010.736</x:v>
      </x:c>
      <x:c r="J14" s="101" t="n">
        <x:f>J11*'Assumptions'!$D$25*(1+'Assumptions'!$D$37)^6</x:f>
        <x:v>56741365131.05808</x:v>
      </x:c>
      <x:c r="K14" s="101" t="n">
        <x:f>K11*'Assumptions'!$D$25*(1+'Assumptions'!$D$37)^7</x:f>
        <x:v>58443606084.98983</x:v>
      </x:c>
      <x:c r="L14" s="101" t="n">
        <x:f>L11*'Assumptions'!$D$25*(1+'Assumptions'!$D$37)^8</x:f>
        <x:v>60196914267.53953</x:v>
      </x:c>
      <x:c r="M14" s="101" t="n">
        <x:f>M11*'Assumptions'!$D$25*(1+'Assumptions'!$D$37)^9</x:f>
        <x:v>62002821695.56572</x:v>
      </x:c>
      <x:c r="N14" s="101" t="n">
        <x:f>N11*'Assumptions'!$D$25*(1+'Assumptions'!$D$37)^10</x:f>
        <x:v>63862906346.432686</x:v>
      </x:c>
      <x:c r="O14" s="101" t="n">
        <x:f>O11*'Assumptions'!$D$25*(1+'Assumptions'!$D$37)^11</x:f>
        <x:v>65778793536.82567</x:v>
      </x:c>
      <x:c r="P14" s="101" t="n">
        <x:f>P11*'Assumptions'!$D$25*(1+'Assumptions'!$D$37)^12</x:f>
        <x:v>67752157342.93044</x:v>
      </x:c>
      <x:c r="Q14" s="101" t="n">
        <x:f>Q11*'Assumptions'!$D$25*(1+'Assumptions'!$D$37)^13</x:f>
        <x:v>69784722063.21835</x:v>
      </x:c>
      <x:c r="R14" s="101" t="n">
        <x:f>R11*'Assumptions'!$D$25*(1+'Assumptions'!$D$37)^14</x:f>
        <x:v>71878263725.11491</x:v>
      </x:c>
    </x:row>
    <x:row r="15" ht="15" hidden="0" customHeight="1">
      <x:c r="A15" s="68"/>
      <x:c r="B15" s="68"/>
      <x:c r="C15" s="68" t="str">
        <x:v>Hotel dinner uplift</x:v>
      </x:c>
      <x:c r="D15" s="101" t="n">
        <x:f>D9*'Assumptions'!$D$27*'Assumptions'!$D$36*(1+'Assumptions'!$D$37)^0</x:f>
        <x:v>4158000000</x:v>
      </x:c>
      <x:c r="E15" s="101" t="n">
        <x:f>E9*'Assumptions'!$D$27*'Assumptions'!$D$36*(1+'Assumptions'!$D$37)^1</x:f>
        <x:v>6118200000</x:v>
      </x:c>
      <x:c r="F15" s="101" t="n">
        <x:f>F9*'Assumptions'!$D$27*'Assumptions'!$D$36*(1+'Assumptions'!$D$37)^2</x:f>
        <x:v>8192269800.000001</x:v>
      </x:c>
      <x:c r="G15" s="101" t="n">
        <x:f>G9*'Assumptions'!$D$27*'Assumptions'!$D$36*(1+'Assumptions'!$D$37)^3</x:f>
        <x:v>10385277408.000002</x:v>
      </x:c>
      <x:c r="H15" s="101" t="n">
        <x:f>H9*'Assumptions'!$D$27*'Assumptions'!$D$36*(1+'Assumptions'!$D$37)^4</x:f>
        <x:v>12033940196.520004</x:v>
      </x:c>
      <x:c r="I15" s="101" t="n">
        <x:f>I9*'Assumptions'!$D$27*'Assumptions'!$D$36*(1+'Assumptions'!$D$37)^5</x:f>
        <x:v>13772176002.684</x:v>
      </x:c>
      <x:c r="J15" s="101" t="n">
        <x:f>J9*'Assumptions'!$D$27*'Assumptions'!$D$36*(1+'Assumptions'!$D$37)^6</x:f>
        <x:v>14185341282.76452</x:v>
      </x:c>
      <x:c r="K15" s="101" t="n">
        <x:f>K9*'Assumptions'!$D$27*'Assumptions'!$D$36*(1+'Assumptions'!$D$37)^7</x:f>
        <x:v>14610901521.247458</x:v>
      </x:c>
      <x:c r="L15" s="101" t="n">
        <x:f>L9*'Assumptions'!$D$27*'Assumptions'!$D$36*(1+'Assumptions'!$D$37)^8</x:f>
        <x:v>15049228566.884882</x:v>
      </x:c>
      <x:c r="M15" s="101" t="n">
        <x:f>M9*'Assumptions'!$D$27*'Assumptions'!$D$36*(1+'Assumptions'!$D$37)^9</x:f>
        <x:v>15500705423.89143</x:v>
      </x:c>
      <x:c r="N15" s="101" t="n">
        <x:f>N9*'Assumptions'!$D$27*'Assumptions'!$D$36*(1+'Assumptions'!$D$37)^10</x:f>
        <x:v>15965726586.608171</x:v>
      </x:c>
      <x:c r="O15" s="101" t="n">
        <x:f>O9*'Assumptions'!$D$27*'Assumptions'!$D$36*(1+'Assumptions'!$D$37)^11</x:f>
        <x:v>16444698384.206417</x:v>
      </x:c>
      <x:c r="P15" s="101" t="n">
        <x:f>P9*'Assumptions'!$D$27*'Assumptions'!$D$36*(1+'Assumptions'!$D$37)^12</x:f>
        <x:v>16938039335.73261</x:v>
      </x:c>
      <x:c r="Q15" s="101" t="n">
        <x:f>Q9*'Assumptions'!$D$27*'Assumptions'!$D$36*(1+'Assumptions'!$D$37)^13</x:f>
        <x:v>17446180515.80459</x:v>
      </x:c>
      <x:c r="R15" s="101" t="n">
        <x:f>R9*'Assumptions'!$D$27*'Assumptions'!$D$36*(1+'Assumptions'!$D$37)^14</x:f>
        <x:v>17969565931.27873</x:v>
      </x:c>
    </x:row>
    <x:row r="16" ht="15" hidden="0" customHeight="1">
      <x:c r="A16" s="68"/>
      <x:c r="B16" s="68"/>
      <x:c r="C16" s="68" t="str">
        <x:v>Total hotel revenue uplift</x:v>
      </x:c>
      <x:c r="D16" s="101" t="n">
        <x:f>SUM(D14:D15)</x:f>
        <x:v>20790000000</x:v>
      </x:c>
      <x:c r="E16" s="101" t="n">
        <x:f>SUM(E14:E15)</x:f>
        <x:v>30591000000</x:v>
      </x:c>
      <x:c r="F16" s="101" t="n">
        <x:f>SUM(F14:F15)</x:f>
        <x:v>40961349000.00001</x:v>
      </x:c>
      <x:c r="G16" s="101" t="n">
        <x:f>SUM(G14:G15)</x:f>
        <x:v>51926387040.00001</x:v>
      </x:c>
      <x:c r="H16" s="101" t="n">
        <x:f>SUM(H14:H15)</x:f>
        <x:v>60169700982.60001</x:v>
      </x:c>
      <x:c r="I16" s="101" t="n">
        <x:f>SUM(I14:I15)</x:f>
        <x:v>68860880013.42</x:v>
      </x:c>
      <x:c r="J16" s="101" t="n">
        <x:f>SUM(J14:J15)</x:f>
        <x:v>70926706413.8226</x:v>
      </x:c>
      <x:c r="K16" s="101" t="n">
        <x:f>SUM(K14:K15)</x:f>
        <x:v>73054507606.23729</x:v>
      </x:c>
      <x:c r="L16" s="101" t="n">
        <x:f>SUM(L14:L15)</x:f>
        <x:v>75246142834.42441</x:v>
      </x:c>
      <x:c r="M16" s="101" t="n">
        <x:f>SUM(M14:M15)</x:f>
        <x:v>77503527119.45715</x:v>
      </x:c>
      <x:c r="N16" s="101" t="n">
        <x:f>SUM(N14:N15)</x:f>
        <x:v>79828632933.04086</x:v>
      </x:c>
      <x:c r="O16" s="101" t="n">
        <x:f>SUM(O14:O15)</x:f>
        <x:v>82223491921.03209</x:v>
      </x:c>
      <x:c r="P16" s="101" t="n">
        <x:f>SUM(P14:P15)</x:f>
        <x:v>84690196678.66306</x:v>
      </x:c>
      <x:c r="Q16" s="101" t="n">
        <x:f>SUM(Q14:Q15)</x:f>
        <x:v>87230902579.02295</x:v>
      </x:c>
      <x:c r="R16" s="101" t="n">
        <x:f>SUM(R14:R15)</x:f>
        <x:v>89847829656.39365</x:v>
      </x:c>
    </x:row>
    <x:row r="17" ht="15" hidden="0" customHeight="1">
      <x:c r="A17" s="68"/>
      <x:c r="B17" s="68"/>
      <x:c r="C17" s="68"/>
      <x:c r="D17" s="68"/>
      <x:c r="E17" s="68"/>
      <x:c r="F17" s="68"/>
      <x:c r="G17" s="68"/>
      <x:c r="H17" s="68"/>
      <x:c r="I17" s="68"/>
      <x:c r="J17" s="68"/>
      <x:c r="K17" s="68"/>
      <x:c r="L17" s="68"/>
      <x:c r="M17" s="68"/>
      <x:c r="N17" s="68"/>
      <x:c r="O17" s="68"/>
      <x:c r="P17" s="68"/>
      <x:c r="Q17" s="68"/>
      <x:c r="R17" s="68"/>
    </x:row>
    <x:row r="18" ht="15" hidden="0" customHeight="1">
      <x:c r="A18" s="68"/>
      <x:c r="B18" s="68"/>
      <x:c r="C18" s="68"/>
      <x:c r="D18" s="68"/>
      <x:c r="E18" s="68"/>
      <x:c r="F18" s="68"/>
      <x:c r="G18" s="68"/>
      <x:c r="H18" s="68"/>
      <x:c r="I18" s="68"/>
      <x:c r="J18" s="68"/>
      <x:c r="K18" s="68"/>
      <x:c r="L18" s="68"/>
      <x:c r="M18" s="68"/>
      <x:c r="N18" s="68"/>
      <x:c r="O18" s="68"/>
      <x:c r="P18" s="68"/>
      <x:c r="Q18" s="68"/>
      <x:c r="R18" s="68"/>
    </x:row>
    <x:row r="19" ht="15" hidden="0" customHeight="1">
      <x:c r="A19" s="68"/>
      <x:c r="B19" s="68"/>
      <x:c r="C19" s="11" t="str">
        <x:v>Weekly Pattern at Stabilization</x:v>
      </x:c>
      <x:c r="D19" s="12"/>
      <x:c r="E19" s="12"/>
      <x:c r="F19" s="12"/>
      <x:c r="G19" s="13"/>
      <x:c r="H19" s="68"/>
      <x:c r="I19" s="68"/>
      <x:c r="J19" s="68"/>
      <x:c r="K19" s="68"/>
      <x:c r="L19" s="68"/>
      <x:c r="M19" s="68"/>
      <x:c r="N19" s="68"/>
      <x:c r="O19" s="68"/>
      <x:c r="P19" s="68"/>
      <x:c r="Q19" s="68"/>
      <x:c r="R19" s="68"/>
    </x:row>
    <x:row r="20" ht="21.600000381469727" hidden="0" customHeight="1">
      <x:c r="A20" s="68"/>
      <x:c r="B20" s="68"/>
      <x:c r="C20" s="19" t="str">
        <x:v>Day</x:v>
      </x:c>
      <x:c r="D20" s="19" t="str">
        <x:v>Current occupancy</x:v>
      </x:c>
      <x:c r="E20" s="19" t="str">
        <x:v>Program rooms</x:v>
      </x:c>
      <x:c r="F20" s="19" t="str">
        <x:v>Stage 1 occupancy</x:v>
      </x:c>
      <x:c r="G20" s="19" t="str">
        <x:v>Main activity</x:v>
      </x:c>
      <x:c r="H20" s="68"/>
      <x:c r="I20" s="68"/>
      <x:c r="J20" s="68"/>
      <x:c r="K20" s="68"/>
      <x:c r="L20" s="68"/>
      <x:c r="M20" s="68"/>
      <x:c r="N20" s="68"/>
      <x:c r="O20" s="68"/>
      <x:c r="P20" s="68"/>
      <x:c r="Q20" s="68"/>
      <x:c r="R20" s="68"/>
    </x:row>
    <x:row r="21" ht="15" hidden="0" customHeight="1">
      <x:c r="A21" s="68"/>
      <x:c r="B21" s="68"/>
      <x:c r="C21" s="68" t="str">
        <x:v>Monday</x:v>
      </x:c>
      <x:c r="D21" s="102" t="n">
        <x:v>0.05</x:v>
      </x:c>
      <x:c r="E21" s="68" t="n">
        <x:f>'Occupancy &amp; Rooms'!I10</x:f>
        <x:v>270</x:v>
      </x:c>
      <x:c r="F21" s="88" t="n">
        <x:f>MIN(100%,D21+E21/'Assumptions'!$D$21)</x:f>
        <x:v>0.9500000000000001</x:v>
      </x:c>
      <x:c r="G21" s="68" t="str">
        <x:v>Arrival recovery and first night</x:v>
      </x:c>
      <x:c r="H21" s="68"/>
      <x:c r="I21" s="68"/>
      <x:c r="J21" s="68"/>
      <x:c r="K21" s="68"/>
      <x:c r="L21" s="68"/>
      <x:c r="M21" s="68"/>
      <x:c r="N21" s="68"/>
      <x:c r="O21" s="68"/>
      <x:c r="P21" s="68"/>
      <x:c r="Q21" s="68"/>
      <x:c r="R21" s="68"/>
    </x:row>
    <x:row r="22" ht="15" hidden="0" customHeight="1">
      <x:c r="A22" s="68"/>
      <x:c r="B22" s="68"/>
      <x:c r="C22" s="68" t="str">
        <x:v>Tuesday</x:v>
      </x:c>
      <x:c r="D22" s="102" t="n">
        <x:v>0.05</x:v>
      </x:c>
      <x:c r="E22" s="68" t="n">
        <x:f>'Occupancy &amp; Rooms'!I10</x:f>
        <x:v>270</x:v>
      </x:c>
      <x:c r="F22" s="88" t="n">
        <x:f>MIN(100%,D22+E22/'Assumptions'!$D$21)</x:f>
        <x:v>0.9500000000000001</x:v>
      </x:c>
      <x:c r="G22" s="68" t="str">
        <x:v>Two attractions</x:v>
      </x:c>
      <x:c r="H22" s="68"/>
      <x:c r="I22" s="68"/>
      <x:c r="J22" s="68"/>
      <x:c r="K22" s="68"/>
      <x:c r="L22" s="68"/>
      <x:c r="M22" s="68"/>
      <x:c r="N22" s="68"/>
      <x:c r="O22" s="68"/>
      <x:c r="P22" s="68"/>
      <x:c r="Q22" s="68"/>
      <x:c r="R22" s="68"/>
    </x:row>
    <x:row r="23" ht="15" hidden="0" customHeight="1">
      <x:c r="A23" s="68"/>
      <x:c r="B23" s="68"/>
      <x:c r="C23" s="68" t="str">
        <x:v>Wednesday</x:v>
      </x:c>
      <x:c r="D23" s="102" t="n">
        <x:v>0.05</x:v>
      </x:c>
      <x:c r="E23" s="68" t="n">
        <x:f>'Occupancy &amp; Rooms'!I10</x:f>
        <x:v>270</x:v>
      </x:c>
      <x:c r="F23" s="88" t="n">
        <x:f>MIN(100%,D23+E23/'Assumptions'!$D$21)</x:f>
        <x:v>0.9500000000000001</x:v>
      </x:c>
      <x:c r="G23" s="68" t="str">
        <x:v>Two attractions</x:v>
      </x:c>
      <x:c r="H23" s="68"/>
      <x:c r="I23" s="68"/>
      <x:c r="J23" s="68"/>
      <x:c r="K23" s="68"/>
      <x:c r="L23" s="68"/>
      <x:c r="M23" s="68"/>
      <x:c r="N23" s="68"/>
      <x:c r="O23" s="68"/>
      <x:c r="P23" s="68"/>
      <x:c r="Q23" s="68"/>
      <x:c r="R23" s="68"/>
    </x:row>
    <x:row r="24" ht="15" hidden="0" customHeight="1">
      <x:c r="A24" s="68"/>
      <x:c r="B24" s="68"/>
      <x:c r="C24" s="68" t="str">
        <x:v>Thursday</x:v>
      </x:c>
      <x:c r="D24" s="102" t="n">
        <x:v>0.05</x:v>
      </x:c>
      <x:c r="E24" s="68" t="n">
        <x:f>'Occupancy &amp; Rooms'!I10</x:f>
        <x:v>270</x:v>
      </x:c>
      <x:c r="F24" s="88" t="n">
        <x:f>MIN(100%,D24+E24/'Assumptions'!$D$21)</x:f>
        <x:v>0.9500000000000001</x:v>
      </x:c>
      <x:c r="G24" s="68" t="str">
        <x:v>Two attractions</x:v>
      </x:c>
      <x:c r="H24" s="68"/>
      <x:c r="I24" s="68"/>
      <x:c r="J24" s="68"/>
      <x:c r="K24" s="68"/>
      <x:c r="L24" s="68"/>
      <x:c r="M24" s="68"/>
      <x:c r="N24" s="68"/>
      <x:c r="O24" s="68"/>
      <x:c r="P24" s="68"/>
      <x:c r="Q24" s="68"/>
      <x:c r="R24" s="68"/>
    </x:row>
    <x:row r="25" ht="15" hidden="0" customHeight="1">
      <x:c r="A25" s="68"/>
      <x:c r="B25" s="68"/>
      <x:c r="C25" s="68" t="str">
        <x:v>Friday</x:v>
      </x:c>
      <x:c r="D25" s="102" t="n">
        <x:v>0.3</x:v>
      </x:c>
      <x:c r="E25" s="68" t="n">
        <x:v>0</x:v>
      </x:c>
      <x:c r="F25" s="88" t="n">
        <x:f>D25</x:f>
        <x:v>0.3</x:v>
      </x:c>
      <x:c r="G25" s="68" t="str">
        <x:v>Departure and beach</x:v>
      </x:c>
      <x:c r="H25" s="68"/>
      <x:c r="I25" s="68"/>
      <x:c r="J25" s="68"/>
      <x:c r="K25" s="68"/>
      <x:c r="L25" s="68"/>
      <x:c r="M25" s="68"/>
      <x:c r="N25" s="68"/>
      <x:c r="O25" s="68"/>
      <x:c r="P25" s="68"/>
      <x:c r="Q25" s="68"/>
      <x:c r="R25" s="68"/>
    </x:row>
    <x:row r="26" ht="15" hidden="0" customHeight="1">
      <x:c r="A26" s="68"/>
      <x:c r="B26" s="68"/>
      <x:c r="C26" s="68" t="str">
        <x:v>Saturday</x:v>
      </x:c>
      <x:c r="D26" s="102" t="n">
        <x:v>1</x:v>
      </x:c>
      <x:c r="E26" s="68" t="n">
        <x:v>0</x:v>
      </x:c>
      <x:c r="F26" s="88" t="n">
        <x:f>D26</x:f>
        <x:v>1</x:v>
      </x:c>
      <x:c r="G26" s="68" t="str">
        <x:v>Existing weekend demand</x:v>
      </x:c>
      <x:c r="H26" s="68"/>
      <x:c r="I26" s="68"/>
      <x:c r="J26" s="68"/>
      <x:c r="K26" s="68"/>
      <x:c r="L26" s="68"/>
      <x:c r="M26" s="68"/>
      <x:c r="N26" s="68"/>
      <x:c r="O26" s="68"/>
      <x:c r="P26" s="68"/>
      <x:c r="Q26" s="68"/>
      <x:c r="R26" s="68"/>
    </x:row>
    <x:row r="27" ht="15" hidden="0" customHeight="1">
      <x:c r="A27" s="68"/>
      <x:c r="B27" s="68"/>
      <x:c r="C27" s="68" t="str">
        <x:v>Sunday</x:v>
      </x:c>
      <x:c r="D27" s="102" t="n">
        <x:v>0.25</x:v>
      </x:c>
      <x:c r="E27" s="68" t="n">
        <x:v>0</x:v>
      </x:c>
      <x:c r="F27" s="88" t="n">
        <x:f>D27</x:f>
        <x:v>0.25</x:v>
      </x:c>
      <x:c r="G27" s="68" t="str">
        <x:v>Weekend and transition</x:v>
      </x:c>
      <x:c r="H27" s="68"/>
      <x:c r="I27" s="68"/>
      <x:c r="J27" s="68"/>
      <x:c r="K27" s="68"/>
      <x:c r="L27" s="68"/>
      <x:c r="M27" s="68"/>
      <x:c r="N27" s="68"/>
      <x:c r="O27" s="68"/>
      <x:c r="P27" s="68"/>
      <x:c r="Q27" s="68"/>
      <x:c r="R27" s="68"/>
    </x:row>
    <x:row r="28" ht="15" hidden="0" customHeight="1">
      <x:c r="A28" s="68"/>
      <x:c r="B28" s="68"/>
      <x:c r="C28" s="98" t="str">
        <x:v>Weekly average</x:v>
      </x:c>
      <x:c r="D28" s="100" t="n">
        <x:f>AVERAGE(D21:D27)</x:f>
        <x:v>0.25</x:v>
      </x:c>
      <x:c r="E28" s="98" t="n">
        <x:f>AVERAGE(E21:E27)</x:f>
        <x:v>154.28571428571428</x:v>
      </x:c>
      <x:c r="F28" s="100" t="n">
        <x:f>AVERAGE(F21:F27)</x:f>
        <x:v>0.7642857142857143</x:v>
      </x:c>
      <x:c r="G28" s="98" t="str">
        <x:v>44 active weeks; annual occupancy is lower</x:v>
      </x:c>
      <x:c r="H28" s="68"/>
      <x:c r="I28" s="68"/>
      <x:c r="J28" s="68"/>
      <x:c r="K28" s="68"/>
      <x:c r="L28" s="68"/>
      <x:c r="M28" s="68"/>
      <x:c r="N28" s="68"/>
      <x:c r="O28" s="68"/>
      <x:c r="P28" s="68"/>
      <x:c r="Q28" s="68"/>
      <x:c r="R28" s="68"/>
    </x:row>
    <x:row r="29" ht="15" hidden="0" customHeight="1">
      <x:c r="A29" s="68"/>
      <x:c r="B29" s="68"/>
      <x:c r="C29" s="68"/>
      <x:c r="D29" s="68"/>
      <x:c r="E29" s="68"/>
      <x:c r="F29" s="68"/>
      <x:c r="G29" s="68"/>
      <x:c r="H29" s="68"/>
      <x:c r="I29" s="68"/>
      <x:c r="J29" s="68"/>
      <x:c r="K29" s="68"/>
      <x:c r="L29" s="68"/>
      <x:c r="M29" s="68"/>
      <x:c r="N29" s="68"/>
      <x:c r="O29" s="68"/>
      <x:c r="P29" s="68"/>
      <x:c r="Q29" s="68"/>
      <x:c r="R29" s="68"/>
    </x:row>
    <x:row r="30" ht="15" hidden="0" customHeight="1">
      <x:c r="A30" s="68"/>
      <x:c r="B30" s="68"/>
      <x:c r="C30" s="68"/>
      <x:c r="D30" s="68"/>
      <x:c r="E30" s="68"/>
      <x:c r="F30" s="68"/>
      <x:c r="G30" s="68"/>
      <x:c r="H30" s="68"/>
      <x:c r="I30" s="68"/>
      <x:c r="J30" s="68"/>
      <x:c r="K30" s="68"/>
      <x:c r="L30" s="68"/>
      <x:c r="M30" s="68"/>
      <x:c r="N30" s="68"/>
      <x:c r="O30" s="68"/>
      <x:c r="P30" s="68"/>
      <x:c r="Q30" s="68"/>
      <x:c r="R30" s="68"/>
    </x:row>
    <x:row r="31" ht="15" hidden="0" customHeight="1">
      <x:c r="A31" s="68"/>
      <x:c r="B31" s="68"/>
      <x:c r="C31" s="68"/>
      <x:c r="D31" s="68"/>
      <x:c r="E31" s="68"/>
      <x:c r="F31" s="68"/>
      <x:c r="G31" s="68"/>
      <x:c r="H31" s="68"/>
      <x:c r="I31" s="68"/>
      <x:c r="J31" s="68"/>
      <x:c r="K31" s="68"/>
      <x:c r="L31" s="68"/>
      <x:c r="M31" s="68"/>
      <x:c r="N31" s="68"/>
      <x:c r="O31" s="68"/>
      <x:c r="P31" s="68"/>
      <x:c r="Q31" s="68"/>
      <x:c r="R31" s="68"/>
    </x:row>
    <x:row r="32" ht="15" hidden="0" customHeight="1">
      <x:c r="A32" s="68"/>
      <x:c r="B32" s="68"/>
      <x:c r="C32" s="68"/>
      <x:c r="D32" s="68"/>
      <x:c r="E32" s="68"/>
      <x:c r="F32" s="68"/>
      <x:c r="G32" s="68"/>
      <x:c r="H32" s="68"/>
      <x:c r="I32" s="68"/>
      <x:c r="J32" s="68"/>
      <x:c r="K32" s="68"/>
      <x:c r="L32" s="68"/>
      <x:c r="M32" s="68"/>
      <x:c r="N32" s="68"/>
      <x:c r="O32" s="68"/>
      <x:c r="P32" s="68"/>
      <x:c r="Q32" s="68"/>
      <x:c r="R32" s="68"/>
    </x:row>
    <x:row r="33" ht="15" hidden="0" customHeight="1">
      <x:c r="A33" s="68"/>
      <x:c r="B33" s="68"/>
      <x:c r="C33" s="68"/>
      <x:c r="D33" s="68"/>
      <x:c r="E33" s="68"/>
      <x:c r="F33" s="68"/>
      <x:c r="G33" s="68"/>
      <x:c r="H33" s="68"/>
      <x:c r="I33" s="68"/>
      <x:c r="J33" s="68"/>
      <x:c r="K33" s="68"/>
      <x:c r="L33" s="68"/>
      <x:c r="M33" s="68"/>
      <x:c r="N33" s="68"/>
      <x:c r="O33" s="68"/>
      <x:c r="P33" s="68"/>
      <x:c r="Q33" s="68"/>
      <x:c r="R33" s="68"/>
    </x:row>
    <x:row r="34" ht="15" hidden="0" customHeight="1">
      <x:c r="A34" s="68"/>
      <x:c r="B34" s="68"/>
      <x:c r="C34" s="68"/>
      <x:c r="D34" s="68"/>
      <x:c r="E34" s="68"/>
      <x:c r="F34" s="68"/>
      <x:c r="G34" s="68"/>
      <x:c r="H34" s="68"/>
      <x:c r="I34" s="68"/>
      <x:c r="J34" s="68"/>
      <x:c r="K34" s="68"/>
      <x:c r="L34" s="68"/>
      <x:c r="M34" s="68"/>
      <x:c r="N34" s="68"/>
      <x:c r="O34" s="68"/>
      <x:c r="P34" s="68"/>
      <x:c r="Q34" s="68"/>
      <x:c r="R34" s="68"/>
    </x:row>
    <x:row r="35" ht="15" hidden="0" customHeight="1">
      <x:c r="A35" s="68"/>
      <x:c r="B35" s="68"/>
      <x:c r="C35" s="68"/>
      <x:c r="D35" s="68"/>
      <x:c r="E35" s="68"/>
      <x:c r="F35" s="68"/>
      <x:c r="G35" s="68"/>
      <x:c r="H35" s="68"/>
      <x:c r="I35" s="68"/>
      <x:c r="J35" s="68"/>
      <x:c r="K35" s="68"/>
      <x:c r="L35" s="68"/>
      <x:c r="M35" s="68"/>
      <x:c r="N35" s="68"/>
      <x:c r="O35" s="68"/>
      <x:c r="P35" s="68"/>
      <x:c r="Q35" s="68"/>
      <x:c r="R35" s="68"/>
    </x:row>
    <x:row r="36" ht="15" hidden="0" customHeight="1">
      <x:c r="A36" s="68"/>
      <x:c r="B36" s="68"/>
      <x:c r="C36" s="68"/>
      <x:c r="D36" s="68"/>
      <x:c r="E36" s="68"/>
      <x:c r="F36" s="68"/>
      <x:c r="G36" s="68"/>
      <x:c r="H36" s="68"/>
      <x:c r="I36" s="68"/>
      <x:c r="J36" s="68"/>
      <x:c r="K36" s="68"/>
      <x:c r="L36" s="68"/>
      <x:c r="M36" s="68"/>
      <x:c r="N36" s="68"/>
      <x:c r="O36" s="68"/>
      <x:c r="P36" s="68"/>
      <x:c r="Q36" s="68"/>
      <x:c r="R36" s="68"/>
    </x:row>
    <x:row r="37" ht="15" hidden="0" customHeight="1">
      <x:c r="A37" s="68"/>
      <x:c r="B37" s="68"/>
      <x:c r="C37" s="68"/>
      <x:c r="D37" s="68"/>
      <x:c r="E37" s="68"/>
      <x:c r="F37" s="68"/>
      <x:c r="G37" s="68"/>
      <x:c r="H37" s="68"/>
      <x:c r="I37" s="68"/>
      <x:c r="J37" s="68"/>
      <x:c r="K37" s="68"/>
      <x:c r="L37" s="68"/>
      <x:c r="M37" s="68"/>
      <x:c r="N37" s="68"/>
      <x:c r="O37" s="68"/>
      <x:c r="P37" s="68"/>
      <x:c r="Q37" s="68"/>
      <x:c r="R37" s="68"/>
    </x:row>
    <x:row r="38" ht="15" hidden="0" customHeight="1">
      <x:c r="A38" s="68"/>
      <x:c r="B38" s="68"/>
      <x:c r="C38" s="68"/>
      <x:c r="D38" s="68"/>
      <x:c r="E38" s="68"/>
      <x:c r="F38" s="68"/>
      <x:c r="G38" s="68"/>
      <x:c r="H38" s="68"/>
      <x:c r="I38" s="68"/>
      <x:c r="J38" s="68"/>
      <x:c r="K38" s="68"/>
      <x:c r="L38" s="68"/>
      <x:c r="M38" s="68"/>
      <x:c r="N38" s="68"/>
      <x:c r="O38" s="68"/>
      <x:c r="P38" s="68"/>
      <x:c r="Q38" s="68"/>
      <x:c r="R38" s="68"/>
    </x:row>
    <x:row r="39" ht="15" hidden="0" customHeight="1">
      <x:c r="A39" s="68"/>
      <x:c r="B39" s="68"/>
      <x:c r="C39" s="68"/>
      <x:c r="D39" s="68"/>
      <x:c r="E39" s="68"/>
      <x:c r="F39" s="68"/>
      <x:c r="G39" s="68"/>
      <x:c r="H39" s="68"/>
      <x:c r="I39" s="68"/>
      <x:c r="J39" s="68"/>
      <x:c r="K39" s="68"/>
      <x:c r="L39" s="68"/>
      <x:c r="M39" s="68"/>
      <x:c r="N39" s="68"/>
      <x:c r="O39" s="68"/>
      <x:c r="P39" s="68"/>
      <x:c r="Q39" s="68"/>
      <x:c r="R39" s="68"/>
    </x:row>
    <x:row r="40" ht="15" hidden="0" customHeight="1">
      <x:c r="A40" s="68"/>
      <x:c r="B40" s="68"/>
      <x:c r="C40" s="68"/>
      <x:c r="D40" s="68"/>
      <x:c r="E40" s="68"/>
      <x:c r="F40" s="68"/>
      <x:c r="G40" s="68"/>
      <x:c r="H40" s="68"/>
      <x:c r="I40" s="68"/>
      <x:c r="J40" s="68"/>
      <x:c r="K40" s="68"/>
      <x:c r="L40" s="68"/>
      <x:c r="M40" s="68"/>
      <x:c r="N40" s="68"/>
      <x:c r="O40" s="68"/>
      <x:c r="P40" s="68"/>
      <x:c r="Q40" s="68"/>
      <x:c r="R40" s="68"/>
    </x:row>
    <x:row r="41" ht="15" hidden="0" customHeight="1">
      <x:c r="A41" s="68"/>
      <x:c r="B41" s="68"/>
      <x:c r="C41" s="68"/>
      <x:c r="D41" s="68"/>
      <x:c r="E41" s="68"/>
      <x:c r="F41" s="68"/>
      <x:c r="G41" s="68"/>
      <x:c r="H41" s="68"/>
      <x:c r="I41" s="68"/>
      <x:c r="J41" s="68"/>
      <x:c r="K41" s="68"/>
      <x:c r="L41" s="68"/>
      <x:c r="M41" s="68"/>
      <x:c r="N41" s="68"/>
      <x:c r="O41" s="68"/>
      <x:c r="P41" s="68"/>
      <x:c r="Q41" s="68"/>
      <x:c r="R41" s="68"/>
    </x:row>
    <x:row r="42" ht="15" hidden="0" customHeight="1">
      <x:c r="A42" s="68"/>
      <x:c r="B42" s="68"/>
      <x:c r="C42" s="68"/>
      <x:c r="D42" s="68"/>
      <x:c r="E42" s="68"/>
      <x:c r="F42" s="68"/>
      <x:c r="G42" s="68"/>
      <x:c r="H42" s="68"/>
      <x:c r="I42" s="68"/>
      <x:c r="J42" s="68"/>
      <x:c r="K42" s="68"/>
      <x:c r="L42" s="68"/>
      <x:c r="M42" s="68"/>
      <x:c r="N42" s="68"/>
      <x:c r="O42" s="68"/>
      <x:c r="P42" s="68"/>
      <x:c r="Q42" s="68"/>
      <x:c r="R42" s="68"/>
    </x:row>
    <x:row r="43" ht="15" hidden="0" customHeight="1">
      <x:c r="A43" s="68"/>
      <x:c r="B43" s="68"/>
      <x:c r="C43" s="68"/>
      <x:c r="D43" s="68"/>
      <x:c r="E43" s="68"/>
      <x:c r="F43" s="68"/>
      <x:c r="G43" s="68"/>
      <x:c r="H43" s="68"/>
      <x:c r="I43" s="68"/>
      <x:c r="J43" s="68"/>
      <x:c r="K43" s="68"/>
      <x:c r="L43" s="68"/>
      <x:c r="M43" s="68"/>
      <x:c r="N43" s="68"/>
      <x:c r="O43" s="68"/>
      <x:c r="P43" s="68"/>
      <x:c r="Q43" s="68"/>
      <x:c r="R43" s="68"/>
    </x:row>
    <x:row r="44" ht="15" hidden="0" customHeight="1">
      <x:c r="A44" s="68"/>
      <x:c r="B44" s="68"/>
      <x:c r="C44" s="68"/>
      <x:c r="D44" s="68"/>
      <x:c r="E44" s="68"/>
      <x:c r="F44" s="68"/>
      <x:c r="G44" s="68"/>
      <x:c r="H44" s="68"/>
      <x:c r="I44" s="68"/>
      <x:c r="J44" s="68"/>
      <x:c r="K44" s="68"/>
      <x:c r="L44" s="68"/>
      <x:c r="M44" s="68"/>
      <x:c r="N44" s="68"/>
      <x:c r="O44" s="68"/>
      <x:c r="P44" s="68"/>
      <x:c r="Q44" s="68"/>
      <x:c r="R44" s="68"/>
    </x:row>
    <x:row r="45" ht="15" hidden="0" customHeight="1">
      <x:c r="A45" s="68"/>
      <x:c r="B45" s="68"/>
      <x:c r="C45" s="68"/>
      <x:c r="D45" s="68"/>
      <x:c r="E45" s="68"/>
      <x:c r="F45" s="68"/>
      <x:c r="G45" s="68"/>
      <x:c r="H45" s="68"/>
      <x:c r="I45" s="68"/>
      <x:c r="J45" s="68"/>
      <x:c r="K45" s="68"/>
      <x:c r="L45" s="68"/>
      <x:c r="M45" s="68"/>
      <x:c r="N45" s="68"/>
      <x:c r="O45" s="68"/>
      <x:c r="P45" s="68"/>
      <x:c r="Q45" s="68"/>
      <x:c r="R45" s="68"/>
    </x:row>
    <x:row r="46" ht="15" hidden="0" customHeight="1">
      <x:c r="A46" s="68"/>
      <x:c r="B46" s="68"/>
      <x:c r="C46" s="68"/>
      <x:c r="D46" s="68"/>
      <x:c r="E46" s="68"/>
      <x:c r="F46" s="68"/>
      <x:c r="G46" s="68"/>
      <x:c r="H46" s="68"/>
      <x:c r="I46" s="68"/>
      <x:c r="J46" s="68"/>
      <x:c r="K46" s="68"/>
      <x:c r="L46" s="68"/>
      <x:c r="M46" s="68"/>
      <x:c r="N46" s="68"/>
      <x:c r="O46" s="68"/>
      <x:c r="P46" s="68"/>
      <x:c r="Q46" s="68"/>
      <x:c r="R46" s="68"/>
    </x:row>
    <x:row r="47" ht="15" hidden="0" customHeight="1">
      <x:c r="A47" s="68"/>
      <x:c r="B47" s="68"/>
      <x:c r="C47" s="68"/>
      <x:c r="D47" s="68"/>
      <x:c r="E47" s="68"/>
      <x:c r="F47" s="68"/>
      <x:c r="G47" s="68"/>
      <x:c r="H47" s="68"/>
      <x:c r="I47" s="68"/>
      <x:c r="J47" s="68"/>
      <x:c r="K47" s="68"/>
      <x:c r="L47" s="68"/>
      <x:c r="M47" s="68"/>
      <x:c r="N47" s="68"/>
      <x:c r="O47" s="68"/>
      <x:c r="P47" s="68"/>
      <x:c r="Q47" s="68"/>
      <x:c r="R47" s="68"/>
    </x:row>
    <x:row r="48" ht="15" hidden="0" customHeight="1">
      <x:c r="A48" s="68"/>
      <x:c r="B48" s="68"/>
      <x:c r="C48" s="68"/>
      <x:c r="D48" s="68"/>
      <x:c r="E48" s="68"/>
      <x:c r="F48" s="68"/>
      <x:c r="G48" s="68"/>
      <x:c r="H48" s="68"/>
      <x:c r="I48" s="68"/>
      <x:c r="J48" s="68"/>
      <x:c r="K48" s="68"/>
      <x:c r="L48" s="68"/>
      <x:c r="M48" s="68"/>
      <x:c r="N48" s="68"/>
      <x:c r="O48" s="68"/>
      <x:c r="P48" s="68"/>
      <x:c r="Q48" s="68"/>
      <x:c r="R48" s="68"/>
    </x:row>
    <x:row r="49" ht="15" hidden="0" customHeight="1">
      <x:c r="A49" s="68"/>
      <x:c r="B49" s="68"/>
      <x:c r="C49" s="68"/>
      <x:c r="D49" s="68"/>
      <x:c r="E49" s="68"/>
      <x:c r="F49" s="68"/>
      <x:c r="G49" s="68"/>
      <x:c r="H49" s="68"/>
      <x:c r="I49" s="68"/>
      <x:c r="J49" s="68"/>
      <x:c r="K49" s="68"/>
      <x:c r="L49" s="68"/>
      <x:c r="M49" s="68"/>
      <x:c r="N49" s="68"/>
      <x:c r="O49" s="68"/>
      <x:c r="P49" s="68"/>
      <x:c r="Q49" s="68"/>
      <x:c r="R49" s="68"/>
    </x:row>
    <x:row r="50" ht="15" hidden="0" customHeight="1">
      <x:c r="A50" s="68"/>
      <x:c r="B50" s="68"/>
      <x:c r="C50" s="68"/>
      <x:c r="D50" s="68"/>
      <x:c r="E50" s="68"/>
      <x:c r="F50" s="68"/>
      <x:c r="G50" s="68"/>
      <x:c r="H50" s="68"/>
      <x:c r="I50" s="68"/>
      <x:c r="J50" s="68"/>
      <x:c r="K50" s="68"/>
      <x:c r="L50" s="68"/>
      <x:c r="M50" s="68"/>
      <x:c r="N50" s="68"/>
      <x:c r="O50" s="68"/>
      <x:c r="P50" s="68"/>
      <x:c r="Q50" s="68"/>
      <x:c r="R50" s="68"/>
    </x:row>
    <x:row r="51" ht="15" hidden="0" customHeight="1">
      <x:c r="A51" s="68"/>
      <x:c r="B51" s="68"/>
      <x:c r="C51" s="68"/>
      <x:c r="D51" s="68"/>
      <x:c r="E51" s="68"/>
      <x:c r="F51" s="68"/>
      <x:c r="G51" s="68"/>
      <x:c r="H51" s="68"/>
      <x:c r="I51" s="68"/>
      <x:c r="J51" s="68"/>
      <x:c r="K51" s="68"/>
      <x:c r="L51" s="68"/>
      <x:c r="M51" s="68"/>
      <x:c r="N51" s="68"/>
      <x:c r="O51" s="68"/>
      <x:c r="P51" s="68"/>
      <x:c r="Q51" s="68"/>
      <x:c r="R51" s="68"/>
    </x:row>
    <x:row r="52" ht="15" hidden="0" customHeight="1">
      <x:c r="A52" s="68"/>
      <x:c r="B52" s="68"/>
      <x:c r="C52" s="68"/>
      <x:c r="D52" s="68"/>
      <x:c r="E52" s="68"/>
      <x:c r="F52" s="68"/>
      <x:c r="G52" s="68"/>
      <x:c r="H52" s="68"/>
      <x:c r="I52" s="68"/>
      <x:c r="J52" s="68"/>
      <x:c r="K52" s="68"/>
      <x:c r="L52" s="68"/>
      <x:c r="M52" s="68"/>
      <x:c r="N52" s="68"/>
      <x:c r="O52" s="68"/>
      <x:c r="P52" s="68"/>
      <x:c r="Q52" s="68"/>
      <x:c r="R52" s="68"/>
    </x:row>
    <x:row r="53" ht="15" hidden="0" customHeight="1">
      <x:c r="A53" s="68"/>
      <x:c r="B53" s="68"/>
      <x:c r="C53" s="68"/>
      <x:c r="D53" s="68"/>
      <x:c r="E53" s="68"/>
      <x:c r="F53" s="68"/>
      <x:c r="G53" s="68"/>
      <x:c r="H53" s="68"/>
      <x:c r="I53" s="68"/>
      <x:c r="J53" s="68"/>
      <x:c r="K53" s="68"/>
      <x:c r="L53" s="68"/>
      <x:c r="M53" s="68"/>
      <x:c r="N53" s="68"/>
      <x:c r="O53" s="68"/>
      <x:c r="P53" s="68"/>
      <x:c r="Q53" s="68"/>
      <x:c r="R53" s="68"/>
    </x:row>
    <x:row r="54" ht="15" hidden="0" customHeight="1">
      <x:c r="A54" s="68"/>
      <x:c r="B54" s="68"/>
      <x:c r="C54" s="68"/>
      <x:c r="D54" s="68"/>
      <x:c r="E54" s="68"/>
      <x:c r="F54" s="68"/>
      <x:c r="G54" s="68"/>
      <x:c r="H54" s="68"/>
      <x:c r="I54" s="68"/>
      <x:c r="J54" s="68"/>
      <x:c r="K54" s="68"/>
      <x:c r="L54" s="68"/>
      <x:c r="M54" s="68"/>
      <x:c r="N54" s="68"/>
      <x:c r="O54" s="68"/>
      <x:c r="P54" s="68"/>
      <x:c r="Q54" s="68"/>
      <x:c r="R54" s="68"/>
    </x:row>
    <x:row r="55" ht="15" hidden="0" customHeight="1">
      <x:c r="A55" s="68"/>
      <x:c r="B55" s="68"/>
      <x:c r="C55" s="68"/>
      <x:c r="D55" s="68"/>
      <x:c r="E55" s="68"/>
      <x:c r="F55" s="68"/>
      <x:c r="G55" s="68"/>
      <x:c r="H55" s="68"/>
      <x:c r="I55" s="68"/>
      <x:c r="J55" s="68"/>
      <x:c r="K55" s="68"/>
      <x:c r="L55" s="68"/>
      <x:c r="M55" s="68"/>
      <x:c r="N55" s="68"/>
      <x:c r="O55" s="68"/>
      <x:c r="P55" s="68"/>
      <x:c r="Q55" s="68"/>
      <x:c r="R55" s="68"/>
    </x:row>
    <x:row r="56" ht="15" hidden="0" customHeight="1">
      <x:c r="A56" s="68"/>
      <x:c r="B56" s="68"/>
      <x:c r="C56" s="68"/>
      <x:c r="D56" s="68"/>
      <x:c r="E56" s="68"/>
      <x:c r="F56" s="68"/>
      <x:c r="G56" s="68"/>
      <x:c r="H56" s="68"/>
      <x:c r="I56" s="68"/>
      <x:c r="J56" s="68"/>
      <x:c r="K56" s="68"/>
      <x:c r="L56" s="68"/>
      <x:c r="M56" s="68"/>
      <x:c r="N56" s="68"/>
      <x:c r="O56" s="68"/>
      <x:c r="P56" s="68"/>
      <x:c r="Q56" s="68"/>
      <x:c r="R56" s="68"/>
    </x:row>
    <x:row r="57" ht="15" hidden="0" customHeight="1">
      <x:c r="A57" s="68"/>
      <x:c r="B57" s="68"/>
      <x:c r="C57" s="68"/>
      <x:c r="D57" s="68"/>
      <x:c r="E57" s="68"/>
      <x:c r="F57" s="68"/>
      <x:c r="G57" s="68"/>
      <x:c r="H57" s="68"/>
      <x:c r="I57" s="68"/>
      <x:c r="J57" s="68"/>
      <x:c r="K57" s="68"/>
      <x:c r="L57" s="68"/>
      <x:c r="M57" s="68"/>
      <x:c r="N57" s="68"/>
      <x:c r="O57" s="68"/>
      <x:c r="P57" s="68"/>
      <x:c r="Q57" s="68"/>
      <x:c r="R57" s="68"/>
    </x:row>
    <x:row r="58" ht="15" hidden="0" customHeight="1">
      <x:c r="A58" s="68"/>
      <x:c r="B58" s="68"/>
      <x:c r="C58" s="68"/>
      <x:c r="D58" s="68"/>
      <x:c r="E58" s="68"/>
      <x:c r="F58" s="68"/>
      <x:c r="G58" s="68"/>
      <x:c r="H58" s="68"/>
      <x:c r="I58" s="68"/>
      <x:c r="J58" s="68"/>
      <x:c r="K58" s="68"/>
      <x:c r="L58" s="68"/>
      <x:c r="M58" s="68"/>
      <x:c r="N58" s="68"/>
      <x:c r="O58" s="68"/>
      <x:c r="P58" s="68"/>
      <x:c r="Q58" s="68"/>
      <x:c r="R58" s="68"/>
    </x:row>
    <x:row r="59" ht="15" hidden="0" customHeight="1">
      <x:c r="A59" s="68"/>
      <x:c r="B59" s="68"/>
      <x:c r="C59" s="68"/>
      <x:c r="D59" s="68"/>
      <x:c r="E59" s="68"/>
      <x:c r="F59" s="68"/>
      <x:c r="G59" s="68"/>
      <x:c r="H59" s="68"/>
      <x:c r="I59" s="68"/>
      <x:c r="J59" s="68"/>
      <x:c r="K59" s="68"/>
      <x:c r="L59" s="68"/>
      <x:c r="M59" s="68"/>
      <x:c r="N59" s="68"/>
      <x:c r="O59" s="68"/>
      <x:c r="P59" s="68"/>
      <x:c r="Q59" s="68"/>
      <x:c r="R59" s="68"/>
    </x:row>
    <x:row r="60" ht="15" hidden="0" customHeight="1">
      <x:c r="A60" s="68"/>
      <x:c r="B60" s="68"/>
      <x:c r="C60" s="68"/>
      <x:c r="D60" s="68"/>
      <x:c r="E60" s="68"/>
      <x:c r="F60" s="68"/>
      <x:c r="G60" s="68"/>
      <x:c r="H60" s="68"/>
      <x:c r="I60" s="68"/>
      <x:c r="J60" s="68"/>
      <x:c r="K60" s="68"/>
      <x:c r="L60" s="68"/>
      <x:c r="M60" s="68"/>
      <x:c r="N60" s="68"/>
      <x:c r="O60" s="68"/>
      <x:c r="P60" s="68"/>
      <x:c r="Q60" s="68"/>
      <x:c r="R60" s="68"/>
    </x:row>
    <x:row r="61" ht="15" hidden="0" customHeight="1">
      <x:c r="A61" s="68"/>
      <x:c r="B61" s="68"/>
      <x:c r="C61" s="68"/>
      <x:c r="D61" s="68"/>
      <x:c r="E61" s="68"/>
      <x:c r="F61" s="68"/>
      <x:c r="G61" s="68"/>
      <x:c r="H61" s="68"/>
      <x:c r="I61" s="68"/>
      <x:c r="J61" s="68"/>
      <x:c r="K61" s="68"/>
      <x:c r="L61" s="68"/>
      <x:c r="M61" s="68"/>
      <x:c r="N61" s="68"/>
      <x:c r="O61" s="68"/>
      <x:c r="P61" s="68"/>
      <x:c r="Q61" s="68"/>
      <x:c r="R61" s="68"/>
    </x:row>
    <x:row r="62" ht="15" hidden="0" customHeight="1">
      <x:c r="A62" s="68"/>
      <x:c r="B62" s="68"/>
      <x:c r="C62" s="68"/>
      <x:c r="D62" s="68"/>
      <x:c r="E62" s="68"/>
      <x:c r="F62" s="68"/>
      <x:c r="G62" s="68"/>
      <x:c r="H62" s="68"/>
      <x:c r="I62" s="68"/>
      <x:c r="J62" s="68"/>
      <x:c r="K62" s="68"/>
      <x:c r="L62" s="68"/>
      <x:c r="M62" s="68"/>
      <x:c r="N62" s="68"/>
      <x:c r="O62" s="68"/>
      <x:c r="P62" s="68"/>
      <x:c r="Q62" s="68"/>
      <x:c r="R62" s="68"/>
    </x:row>
    <x:row r="63" ht="15" hidden="0" customHeight="1">
      <x:c r="A63" s="68"/>
      <x:c r="B63" s="68"/>
      <x:c r="C63" s="68"/>
      <x:c r="D63" s="68"/>
      <x:c r="E63" s="68"/>
      <x:c r="F63" s="68"/>
      <x:c r="G63" s="68"/>
      <x:c r="H63" s="68"/>
      <x:c r="I63" s="68"/>
      <x:c r="J63" s="68"/>
      <x:c r="K63" s="68"/>
      <x:c r="L63" s="68"/>
      <x:c r="M63" s="68"/>
      <x:c r="N63" s="68"/>
      <x:c r="O63" s="68"/>
      <x:c r="P63" s="68"/>
      <x:c r="Q63" s="68"/>
      <x:c r="R63" s="68"/>
    </x:row>
    <x:row r="64" ht="15" hidden="0" customHeight="1">
      <x:c r="A64" s="68"/>
      <x:c r="B64" s="68"/>
      <x:c r="C64" s="68"/>
      <x:c r="D64" s="68"/>
      <x:c r="E64" s="68"/>
      <x:c r="F64" s="68"/>
      <x:c r="G64" s="68"/>
      <x:c r="H64" s="68"/>
      <x:c r="I64" s="68"/>
      <x:c r="J64" s="68"/>
      <x:c r="K64" s="68"/>
      <x:c r="L64" s="68"/>
      <x:c r="M64" s="68"/>
      <x:c r="N64" s="68"/>
      <x:c r="O64" s="68"/>
      <x:c r="P64" s="68"/>
      <x:c r="Q64" s="68"/>
      <x:c r="R64" s="68"/>
    </x:row>
    <x:row r="65" ht="15" hidden="0" customHeight="1">
      <x:c r="A65" s="68"/>
      <x:c r="B65" s="68"/>
      <x:c r="C65" s="68"/>
      <x:c r="D65" s="68"/>
      <x:c r="E65" s="68"/>
      <x:c r="F65" s="68"/>
      <x:c r="G65" s="68"/>
      <x:c r="H65" s="68"/>
      <x:c r="I65" s="68"/>
      <x:c r="J65" s="68"/>
      <x:c r="K65" s="68"/>
      <x:c r="L65" s="68"/>
      <x:c r="M65" s="68"/>
      <x:c r="N65" s="68"/>
      <x:c r="O65" s="68"/>
      <x:c r="P65" s="68"/>
      <x:c r="Q65" s="68"/>
      <x:c r="R65" s="68"/>
    </x:row>
    <x:row r="66" ht="15" hidden="0" customHeight="1">
      <x:c r="A66" s="68"/>
      <x:c r="B66" s="68"/>
      <x:c r="C66" s="68"/>
      <x:c r="D66" s="68"/>
      <x:c r="E66" s="68"/>
      <x:c r="F66" s="68"/>
      <x:c r="G66" s="68"/>
      <x:c r="H66" s="68"/>
      <x:c r="I66" s="68"/>
      <x:c r="J66" s="68"/>
      <x:c r="K66" s="68"/>
      <x:c r="L66" s="68"/>
      <x:c r="M66" s="68"/>
      <x:c r="N66" s="68"/>
      <x:c r="O66" s="68"/>
      <x:c r="P66" s="68"/>
      <x:c r="Q66" s="68"/>
      <x:c r="R66" s="68"/>
    </x:row>
    <x:row r="67" ht="15" hidden="0" customHeight="1">
      <x:c r="A67" s="68"/>
      <x:c r="B67" s="68"/>
      <x:c r="C67" s="68"/>
      <x:c r="D67" s="68"/>
      <x:c r="E67" s="68"/>
      <x:c r="F67" s="68"/>
      <x:c r="G67" s="68"/>
      <x:c r="H67" s="68"/>
      <x:c r="I67" s="68"/>
      <x:c r="J67" s="68"/>
      <x:c r="K67" s="68"/>
      <x:c r="L67" s="68"/>
      <x:c r="M67" s="68"/>
      <x:c r="N67" s="68"/>
      <x:c r="O67" s="68"/>
      <x:c r="P67" s="68"/>
      <x:c r="Q67" s="68"/>
      <x:c r="R67" s="68"/>
    </x:row>
    <x:row r="68" ht="15" hidden="0" customHeight="1">
      <x:c r="A68" s="68"/>
      <x:c r="B68" s="68"/>
      <x:c r="C68" s="68"/>
      <x:c r="D68" s="68"/>
      <x:c r="E68" s="68"/>
      <x:c r="F68" s="68"/>
      <x:c r="G68" s="68"/>
      <x:c r="H68" s="68"/>
      <x:c r="I68" s="68"/>
      <x:c r="J68" s="68"/>
      <x:c r="K68" s="68"/>
      <x:c r="L68" s="68"/>
      <x:c r="M68" s="68"/>
      <x:c r="N68" s="68"/>
      <x:c r="O68" s="68"/>
      <x:c r="P68" s="68"/>
      <x:c r="Q68" s="68"/>
      <x:c r="R68" s="68"/>
    </x:row>
    <x:row r="69" ht="15" hidden="0" customHeight="1">
      <x:c r="A69" s="68"/>
      <x:c r="B69" s="68"/>
      <x:c r="C69" s="68"/>
      <x:c r="D69" s="68"/>
      <x:c r="E69" s="68"/>
      <x:c r="F69" s="68"/>
      <x:c r="G69" s="68"/>
      <x:c r="H69" s="68"/>
      <x:c r="I69" s="68"/>
      <x:c r="J69" s="68"/>
      <x:c r="K69" s="68"/>
      <x:c r="L69" s="68"/>
      <x:c r="M69" s="68"/>
      <x:c r="N69" s="68"/>
      <x:c r="O69" s="68"/>
      <x:c r="P69" s="68"/>
      <x:c r="Q69" s="68"/>
      <x:c r="R69" s="68"/>
    </x:row>
    <x:row r="70" ht="15" hidden="0" customHeight="1">
      <x:c r="A70" s="68"/>
      <x:c r="B70" s="68"/>
      <x:c r="C70" s="68"/>
      <x:c r="D70" s="68"/>
      <x:c r="E70" s="68"/>
      <x:c r="F70" s="68"/>
      <x:c r="G70" s="68"/>
      <x:c r="H70" s="68"/>
      <x:c r="I70" s="68"/>
      <x:c r="J70" s="68"/>
      <x:c r="K70" s="68"/>
      <x:c r="L70" s="68"/>
      <x:c r="M70" s="68"/>
      <x:c r="N70" s="68"/>
      <x:c r="O70" s="68"/>
      <x:c r="P70" s="68"/>
      <x:c r="Q70" s="68"/>
      <x:c r="R70" s="68"/>
    </x:row>
    <x:row r="71" ht="15" hidden="0" customHeight="1">
      <x:c r="A71" s="68"/>
      <x:c r="B71" s="68"/>
      <x:c r="C71" s="68"/>
      <x:c r="D71" s="68"/>
      <x:c r="E71" s="68"/>
      <x:c r="F71" s="68"/>
      <x:c r="G71" s="68"/>
      <x:c r="H71" s="68"/>
      <x:c r="I71" s="68"/>
      <x:c r="J71" s="68"/>
      <x:c r="K71" s="68"/>
      <x:c r="L71" s="68"/>
      <x:c r="M71" s="68"/>
      <x:c r="N71" s="68"/>
      <x:c r="O71" s="68"/>
      <x:c r="P71" s="68"/>
      <x:c r="Q71" s="68"/>
      <x:c r="R71" s="68"/>
    </x:row>
    <x:row r="72" ht="15" hidden="0" customHeight="1">
      <x:c r="A72" s="68"/>
      <x:c r="B72" s="68"/>
      <x:c r="C72" s="68"/>
      <x:c r="D72" s="68"/>
      <x:c r="E72" s="68"/>
      <x:c r="F72" s="68"/>
      <x:c r="G72" s="68"/>
      <x:c r="H72" s="68"/>
      <x:c r="I72" s="68"/>
      <x:c r="J72" s="68"/>
      <x:c r="K72" s="68"/>
      <x:c r="L72" s="68"/>
      <x:c r="M72" s="68"/>
      <x:c r="N72" s="68"/>
      <x:c r="O72" s="68"/>
      <x:c r="P72" s="68"/>
      <x:c r="Q72" s="68"/>
      <x:c r="R72" s="68"/>
    </x:row>
    <x:row r="73" ht="15" hidden="0" customHeight="1">
      <x:c r="A73" s="68"/>
      <x:c r="B73" s="68"/>
      <x:c r="C73" s="68"/>
      <x:c r="D73" s="68"/>
      <x:c r="E73" s="68"/>
      <x:c r="F73" s="68"/>
      <x:c r="G73" s="68"/>
      <x:c r="H73" s="68"/>
      <x:c r="I73" s="68"/>
      <x:c r="J73" s="68"/>
      <x:c r="K73" s="68"/>
      <x:c r="L73" s="68"/>
      <x:c r="M73" s="68"/>
      <x:c r="N73" s="68"/>
      <x:c r="O73" s="68"/>
      <x:c r="P73" s="68"/>
      <x:c r="Q73" s="68"/>
      <x:c r="R73" s="68"/>
    </x:row>
    <x:row r="74" ht="15" hidden="0" customHeight="1">
      <x:c r="A74" s="68"/>
      <x:c r="B74" s="68"/>
      <x:c r="C74" s="68"/>
      <x:c r="D74" s="68"/>
      <x:c r="E74" s="68"/>
      <x:c r="F74" s="68"/>
      <x:c r="G74" s="68"/>
      <x:c r="H74" s="68"/>
      <x:c r="I74" s="68"/>
      <x:c r="J74" s="68"/>
      <x:c r="K74" s="68"/>
      <x:c r="L74" s="68"/>
      <x:c r="M74" s="68"/>
      <x:c r="N74" s="68"/>
      <x:c r="O74" s="68"/>
      <x:c r="P74" s="68"/>
      <x:c r="Q74" s="68"/>
      <x:c r="R74" s="68"/>
    </x:row>
    <x:row r="75" ht="15" hidden="0" customHeight="1">
      <x:c r="A75" s="68"/>
      <x:c r="B75" s="68"/>
      <x:c r="C75" s="68"/>
      <x:c r="D75" s="68"/>
      <x:c r="E75" s="68"/>
      <x:c r="F75" s="68"/>
      <x:c r="G75" s="68"/>
      <x:c r="H75" s="68"/>
      <x:c r="I75" s="68"/>
      <x:c r="J75" s="68"/>
      <x:c r="K75" s="68"/>
      <x:c r="L75" s="68"/>
      <x:c r="M75" s="68"/>
      <x:c r="N75" s="68"/>
      <x:c r="O75" s="68"/>
      <x:c r="P75" s="68"/>
      <x:c r="Q75" s="68"/>
      <x:c r="R75" s="68"/>
    </x:row>
    <x:row r="76" ht="15" hidden="0" customHeight="1">
      <x:c r="A76" s="68"/>
      <x:c r="B76" s="68"/>
      <x:c r="C76" s="68"/>
      <x:c r="D76" s="68"/>
      <x:c r="E76" s="68"/>
      <x:c r="F76" s="68"/>
      <x:c r="G76" s="68"/>
      <x:c r="H76" s="68"/>
      <x:c r="I76" s="68"/>
      <x:c r="J76" s="68"/>
      <x:c r="K76" s="68"/>
      <x:c r="L76" s="68"/>
      <x:c r="M76" s="68"/>
      <x:c r="N76" s="68"/>
      <x:c r="O76" s="68"/>
      <x:c r="P76" s="68"/>
      <x:c r="Q76" s="68"/>
      <x:c r="R76" s="68"/>
    </x:row>
    <x:row r="77" ht="15" hidden="0" customHeight="1">
      <x:c r="A77" s="68"/>
      <x:c r="B77" s="68"/>
      <x:c r="C77" s="68"/>
      <x:c r="D77" s="68"/>
      <x:c r="E77" s="68"/>
      <x:c r="F77" s="68"/>
      <x:c r="G77" s="68"/>
      <x:c r="H77" s="68"/>
      <x:c r="I77" s="68"/>
      <x:c r="J77" s="68"/>
      <x:c r="K77" s="68"/>
      <x:c r="L77" s="68"/>
      <x:c r="M77" s="68"/>
      <x:c r="N77" s="68"/>
      <x:c r="O77" s="68"/>
      <x:c r="P77" s="68"/>
      <x:c r="Q77" s="68"/>
      <x:c r="R77" s="68"/>
    </x:row>
    <x:row r="78" ht="15" hidden="0" customHeight="1">
      <x:c r="A78" s="68"/>
      <x:c r="B78" s="68"/>
      <x:c r="C78" s="68"/>
      <x:c r="D78" s="68"/>
      <x:c r="E78" s="68"/>
      <x:c r="F78" s="68"/>
      <x:c r="G78" s="68"/>
      <x:c r="H78" s="68"/>
      <x:c r="I78" s="68"/>
      <x:c r="J78" s="68"/>
      <x:c r="K78" s="68"/>
      <x:c r="L78" s="68"/>
      <x:c r="M78" s="68"/>
      <x:c r="N78" s="68"/>
      <x:c r="O78" s="68"/>
      <x:c r="P78" s="68"/>
      <x:c r="Q78" s="68"/>
      <x:c r="R78" s="68"/>
    </x:row>
    <x:row r="79" ht="15" hidden="0" customHeight="1">
      <x:c r="A79" s="68"/>
      <x:c r="B79" s="68"/>
      <x:c r="C79" s="68"/>
      <x:c r="D79" s="68"/>
      <x:c r="E79" s="68"/>
      <x:c r="F79" s="68"/>
      <x:c r="G79" s="68"/>
      <x:c r="H79" s="68"/>
      <x:c r="I79" s="68"/>
      <x:c r="J79" s="68"/>
      <x:c r="K79" s="68"/>
      <x:c r="L79" s="68"/>
      <x:c r="M79" s="68"/>
      <x:c r="N79" s="68"/>
      <x:c r="O79" s="68"/>
      <x:c r="P79" s="68"/>
      <x:c r="Q79" s="68"/>
      <x:c r="R79" s="68"/>
    </x:row>
    <x:row r="80" ht="15" hidden="0" customHeight="1">
      <x:c r="A80" s="68"/>
      <x:c r="B80" s="68"/>
      <x:c r="C80" s="68"/>
      <x:c r="D80" s="68"/>
      <x:c r="E80" s="68"/>
      <x:c r="F80" s="68"/>
      <x:c r="G80" s="68"/>
      <x:c r="H80" s="68"/>
      <x:c r="I80" s="68"/>
      <x:c r="J80" s="68"/>
      <x:c r="K80" s="68"/>
      <x:c r="L80" s="68"/>
      <x:c r="M80" s="68"/>
      <x:c r="N80" s="68"/>
      <x:c r="O80" s="68"/>
      <x:c r="P80" s="68"/>
      <x:c r="Q80" s="68"/>
      <x:c r="R80" s="68"/>
    </x:row>
    <x:row r="81" ht="15" hidden="0" customHeight="1">
      <x:c r="A81" s="68"/>
      <x:c r="B81" s="68"/>
      <x:c r="C81" s="68"/>
      <x:c r="D81" s="68"/>
      <x:c r="E81" s="68"/>
      <x:c r="F81" s="68"/>
      <x:c r="G81" s="68"/>
      <x:c r="H81" s="68"/>
      <x:c r="I81" s="68"/>
      <x:c r="J81" s="68"/>
      <x:c r="K81" s="68"/>
      <x:c r="L81" s="68"/>
      <x:c r="M81" s="68"/>
      <x:c r="N81" s="68"/>
      <x:c r="O81" s="68"/>
      <x:c r="P81" s="68"/>
      <x:c r="Q81" s="68"/>
      <x:c r="R81" s="68"/>
    </x:row>
    <x:row r="82" ht="15" hidden="0" customHeight="1">
      <x:c r="A82" s="68"/>
      <x:c r="B82" s="68"/>
      <x:c r="C82" s="68"/>
      <x:c r="D82" s="68"/>
      <x:c r="E82" s="68"/>
      <x:c r="F82" s="68"/>
      <x:c r="G82" s="68"/>
      <x:c r="H82" s="68"/>
      <x:c r="I82" s="68"/>
      <x:c r="J82" s="68"/>
      <x:c r="K82" s="68"/>
      <x:c r="L82" s="68"/>
      <x:c r="M82" s="68"/>
      <x:c r="N82" s="68"/>
      <x:c r="O82" s="68"/>
      <x:c r="P82" s="68"/>
      <x:c r="Q82" s="68"/>
      <x:c r="R82" s="68"/>
    </x:row>
    <x:row r="83" ht="15" hidden="0" customHeight="1">
      <x:c r="A83" s="68"/>
      <x:c r="B83" s="68"/>
      <x:c r="C83" s="68"/>
      <x:c r="D83" s="68"/>
      <x:c r="E83" s="68"/>
      <x:c r="F83" s="68"/>
      <x:c r="G83" s="68"/>
      <x:c r="H83" s="68"/>
      <x:c r="I83" s="68"/>
      <x:c r="J83" s="68"/>
      <x:c r="K83" s="68"/>
      <x:c r="L83" s="68"/>
      <x:c r="M83" s="68"/>
      <x:c r="N83" s="68"/>
      <x:c r="O83" s="68"/>
      <x:c r="P83" s="68"/>
      <x:c r="Q83" s="68"/>
      <x:c r="R83" s="68"/>
    </x:row>
    <x:row r="84" ht="15" hidden="0" customHeight="1">
      <x:c r="A84" s="68"/>
      <x:c r="B84" s="68"/>
      <x:c r="C84" s="68"/>
      <x:c r="D84" s="68"/>
      <x:c r="E84" s="68"/>
      <x:c r="F84" s="68"/>
      <x:c r="G84" s="68"/>
      <x:c r="H84" s="68"/>
      <x:c r="I84" s="68"/>
      <x:c r="J84" s="68"/>
      <x:c r="K84" s="68"/>
      <x:c r="L84" s="68"/>
      <x:c r="M84" s="68"/>
      <x:c r="N84" s="68"/>
      <x:c r="O84" s="68"/>
      <x:c r="P84" s="68"/>
      <x:c r="Q84" s="68"/>
      <x:c r="R84" s="68"/>
    </x:row>
    <x:row r="85" ht="15" hidden="0" customHeight="1">
      <x:c r="A85" s="68"/>
      <x:c r="B85" s="68"/>
      <x:c r="C85" s="68"/>
      <x:c r="D85" s="68"/>
      <x:c r="E85" s="68"/>
      <x:c r="F85" s="68"/>
      <x:c r="G85" s="68"/>
      <x:c r="H85" s="68"/>
      <x:c r="I85" s="68"/>
      <x:c r="J85" s="68"/>
      <x:c r="K85" s="68"/>
      <x:c r="L85" s="68"/>
      <x:c r="M85" s="68"/>
      <x:c r="N85" s="68"/>
      <x:c r="O85" s="68"/>
      <x:c r="P85" s="68"/>
      <x:c r="Q85" s="68"/>
      <x:c r="R85" s="68"/>
    </x:row>
    <x:row r="86" ht="15" hidden="0" customHeight="1">
      <x:c r="A86" s="68"/>
      <x:c r="B86" s="68"/>
      <x:c r="C86" s="68"/>
      <x:c r="D86" s="68"/>
      <x:c r="E86" s="68"/>
      <x:c r="F86" s="68"/>
      <x:c r="G86" s="68"/>
      <x:c r="H86" s="68"/>
      <x:c r="I86" s="68"/>
      <x:c r="J86" s="68"/>
      <x:c r="K86" s="68"/>
      <x:c r="L86" s="68"/>
      <x:c r="M86" s="68"/>
      <x:c r="N86" s="68"/>
      <x:c r="O86" s="68"/>
      <x:c r="P86" s="68"/>
      <x:c r="Q86" s="68"/>
      <x:c r="R86" s="68"/>
    </x:row>
    <x:row r="87" ht="15" hidden="0" customHeight="1">
      <x:c r="A87" s="68"/>
      <x:c r="B87" s="68"/>
      <x:c r="C87" s="68"/>
      <x:c r="D87" s="68"/>
      <x:c r="E87" s="68"/>
      <x:c r="F87" s="68"/>
      <x:c r="G87" s="68"/>
      <x:c r="H87" s="68"/>
      <x:c r="I87" s="68"/>
      <x:c r="J87" s="68"/>
      <x:c r="K87" s="68"/>
      <x:c r="L87" s="68"/>
      <x:c r="M87" s="68"/>
      <x:c r="N87" s="68"/>
      <x:c r="O87" s="68"/>
      <x:c r="P87" s="68"/>
      <x:c r="Q87" s="68"/>
      <x:c r="R87" s="68"/>
    </x:row>
    <x:row r="88" ht="15" hidden="0" customHeight="1">
      <x:c r="A88" s="68"/>
      <x:c r="B88" s="68"/>
      <x:c r="C88" s="68"/>
      <x:c r="D88" s="68"/>
      <x:c r="E88" s="68"/>
      <x:c r="F88" s="68"/>
      <x:c r="G88" s="68"/>
      <x:c r="H88" s="68"/>
      <x:c r="I88" s="68"/>
      <x:c r="J88" s="68"/>
      <x:c r="K88" s="68"/>
      <x:c r="L88" s="68"/>
      <x:c r="M88" s="68"/>
      <x:c r="N88" s="68"/>
      <x:c r="O88" s="68"/>
      <x:c r="P88" s="68"/>
      <x:c r="Q88" s="68"/>
      <x:c r="R88" s="68"/>
    </x:row>
    <x:row r="89" ht="15" hidden="0" customHeight="1">
      <x:c r="A89" s="68"/>
      <x:c r="B89" s="68"/>
      <x:c r="C89" s="68"/>
      <x:c r="D89" s="68"/>
      <x:c r="E89" s="68"/>
      <x:c r="F89" s="68"/>
      <x:c r="G89" s="68"/>
      <x:c r="H89" s="68"/>
      <x:c r="I89" s="68"/>
      <x:c r="J89" s="68"/>
      <x:c r="K89" s="68"/>
      <x:c r="L89" s="68"/>
      <x:c r="M89" s="68"/>
      <x:c r="N89" s="68"/>
      <x:c r="O89" s="68"/>
      <x:c r="P89" s="68"/>
      <x:c r="Q89" s="68"/>
      <x:c r="R89" s="68"/>
    </x:row>
    <x:row r="90" ht="15" hidden="0" customHeight="1">
      <x:c r="A90" s="68"/>
      <x:c r="B90" s="68"/>
      <x:c r="C90" s="68"/>
      <x:c r="D90" s="68"/>
      <x:c r="E90" s="68"/>
      <x:c r="F90" s="68"/>
      <x:c r="G90" s="68"/>
      <x:c r="H90" s="68"/>
      <x:c r="I90" s="68"/>
      <x:c r="J90" s="68"/>
      <x:c r="K90" s="68"/>
      <x:c r="L90" s="68"/>
      <x:c r="M90" s="68"/>
      <x:c r="N90" s="68"/>
      <x:c r="O90" s="68"/>
      <x:c r="P90" s="68"/>
      <x:c r="Q90" s="68"/>
      <x:c r="R90" s="68"/>
    </x:row>
    <x:row r="91" ht="15" hidden="0" customHeight="1">
      <x:c r="A91" s="68"/>
      <x:c r="B91" s="68"/>
      <x:c r="C91" s="68"/>
      <x:c r="D91" s="68"/>
      <x:c r="E91" s="68"/>
      <x:c r="F91" s="68"/>
      <x:c r="G91" s="68"/>
      <x:c r="H91" s="68"/>
      <x:c r="I91" s="68"/>
      <x:c r="J91" s="68"/>
      <x:c r="K91" s="68"/>
      <x:c r="L91" s="68"/>
      <x:c r="M91" s="68"/>
      <x:c r="N91" s="68"/>
      <x:c r="O91" s="68"/>
      <x:c r="P91" s="68"/>
      <x:c r="Q91" s="68"/>
      <x:c r="R91" s="68"/>
    </x:row>
    <x:row r="92" ht="15" hidden="0" customHeight="1">
      <x:c r="A92" s="68"/>
      <x:c r="B92" s="68"/>
      <x:c r="C92" s="68"/>
      <x:c r="D92" s="68"/>
      <x:c r="E92" s="68"/>
      <x:c r="F92" s="68"/>
      <x:c r="G92" s="68"/>
      <x:c r="H92" s="68"/>
      <x:c r="I92" s="68"/>
      <x:c r="J92" s="68"/>
      <x:c r="K92" s="68"/>
      <x:c r="L92" s="68"/>
      <x:c r="M92" s="68"/>
      <x:c r="N92" s="68"/>
      <x:c r="O92" s="68"/>
      <x:c r="P92" s="68"/>
      <x:c r="Q92" s="68"/>
      <x:c r="R92" s="68"/>
    </x:row>
    <x:row r="93" ht="15" hidden="0" customHeight="1">
      <x:c r="A93" s="68"/>
      <x:c r="B93" s="68"/>
      <x:c r="C93" s="68"/>
      <x:c r="D93" s="68"/>
      <x:c r="E93" s="68"/>
      <x:c r="F93" s="68"/>
      <x:c r="G93" s="68"/>
      <x:c r="H93" s="68"/>
      <x:c r="I93" s="68"/>
      <x:c r="J93" s="68"/>
      <x:c r="K93" s="68"/>
      <x:c r="L93" s="68"/>
      <x:c r="M93" s="68"/>
      <x:c r="N93" s="68"/>
      <x:c r="O93" s="68"/>
      <x:c r="P93" s="68"/>
      <x:c r="Q93" s="68"/>
      <x:c r="R93" s="68"/>
    </x:row>
    <x:row r="94" ht="15" hidden="0" customHeight="1">
      <x:c r="A94" s="68"/>
      <x:c r="B94" s="68"/>
      <x:c r="C94" s="68"/>
      <x:c r="D94" s="68"/>
      <x:c r="E94" s="68"/>
      <x:c r="F94" s="68"/>
      <x:c r="G94" s="68"/>
      <x:c r="H94" s="68"/>
      <x:c r="I94" s="68"/>
      <x:c r="J94" s="68"/>
      <x:c r="K94" s="68"/>
      <x:c r="L94" s="68"/>
      <x:c r="M94" s="68"/>
      <x:c r="N94" s="68"/>
      <x:c r="O94" s="68"/>
      <x:c r="P94" s="68"/>
      <x:c r="Q94" s="68"/>
      <x:c r="R94" s="68"/>
    </x:row>
    <x:row r="95" ht="15" hidden="0" customHeight="1">
      <x:c r="A95" s="68"/>
      <x:c r="B95" s="68"/>
      <x:c r="C95" s="68"/>
      <x:c r="D95" s="68"/>
      <x:c r="E95" s="68"/>
      <x:c r="F95" s="68"/>
      <x:c r="G95" s="68"/>
      <x:c r="H95" s="68"/>
      <x:c r="I95" s="68"/>
      <x:c r="J95" s="68"/>
      <x:c r="K95" s="68"/>
      <x:c r="L95" s="68"/>
      <x:c r="M95" s="68"/>
      <x:c r="N95" s="68"/>
      <x:c r="O95" s="68"/>
      <x:c r="P95" s="68"/>
      <x:c r="Q95" s="68"/>
      <x:c r="R95" s="68"/>
    </x:row>
    <x:row r="96" ht="15" hidden="0" customHeight="1">
      <x:c r="A96" s="68"/>
      <x:c r="B96" s="68"/>
      <x:c r="C96" s="68"/>
      <x:c r="D96" s="68"/>
      <x:c r="E96" s="68"/>
      <x:c r="F96" s="68"/>
      <x:c r="G96" s="68"/>
      <x:c r="H96" s="68"/>
      <x:c r="I96" s="68"/>
      <x:c r="J96" s="68"/>
      <x:c r="K96" s="68"/>
      <x:c r="L96" s="68"/>
      <x:c r="M96" s="68"/>
      <x:c r="N96" s="68"/>
      <x:c r="O96" s="68"/>
      <x:c r="P96" s="68"/>
      <x:c r="Q96" s="68"/>
      <x:c r="R96" s="68"/>
    </x:row>
    <x:row r="97" ht="15" hidden="0" customHeight="1">
      <x:c r="A97" s="68"/>
      <x:c r="B97" s="68"/>
      <x:c r="C97" s="68"/>
      <x:c r="D97" s="68"/>
      <x:c r="E97" s="68"/>
      <x:c r="F97" s="68"/>
      <x:c r="G97" s="68"/>
      <x:c r="H97" s="68"/>
      <x:c r="I97" s="68"/>
      <x:c r="J97" s="68"/>
      <x:c r="K97" s="68"/>
      <x:c r="L97" s="68"/>
      <x:c r="M97" s="68"/>
      <x:c r="N97" s="68"/>
      <x:c r="O97" s="68"/>
      <x:c r="P97" s="68"/>
      <x:c r="Q97" s="68"/>
      <x:c r="R97" s="68"/>
    </x:row>
    <x:row r="98" ht="15" hidden="0" customHeight="1">
      <x:c r="A98" s="68"/>
      <x:c r="B98" s="68"/>
      <x:c r="C98" s="68"/>
      <x:c r="D98" s="68"/>
      <x:c r="E98" s="68"/>
      <x:c r="F98" s="68"/>
      <x:c r="G98" s="68"/>
      <x:c r="H98" s="68"/>
      <x:c r="I98" s="68"/>
      <x:c r="J98" s="68"/>
      <x:c r="K98" s="68"/>
      <x:c r="L98" s="68"/>
      <x:c r="M98" s="68"/>
      <x:c r="N98" s="68"/>
      <x:c r="O98" s="68"/>
      <x:c r="P98" s="68"/>
      <x:c r="Q98" s="68"/>
      <x:c r="R98" s="68"/>
    </x:row>
    <x:row r="99" ht="15" hidden="0" customHeight="1">
      <x:c r="A99" s="68"/>
      <x:c r="B99" s="68"/>
      <x:c r="C99" s="68"/>
      <x:c r="D99" s="68"/>
      <x:c r="E99" s="68"/>
      <x:c r="F99" s="68"/>
      <x:c r="G99" s="68"/>
      <x:c r="H99" s="68"/>
      <x:c r="I99" s="68"/>
      <x:c r="J99" s="68"/>
      <x:c r="K99" s="68"/>
      <x:c r="L99" s="68"/>
      <x:c r="M99" s="68"/>
      <x:c r="N99" s="68"/>
      <x:c r="O99" s="68"/>
      <x:c r="P99" s="68"/>
      <x:c r="Q99" s="68"/>
      <x:c r="R99" s="68"/>
    </x:row>
    <x:row r="100" ht="15" hidden="0" customHeight="1">
      <x:c r="A100" s="68"/>
      <x:c r="B100" s="68"/>
      <x:c r="C100" s="68"/>
      <x:c r="D100" s="68"/>
      <x:c r="E100" s="68"/>
      <x:c r="F100" s="68"/>
      <x:c r="G100" s="68"/>
      <x:c r="H100" s="68"/>
      <x:c r="I100" s="68"/>
      <x:c r="J100" s="68"/>
      <x:c r="K100" s="68"/>
      <x:c r="L100" s="68"/>
      <x:c r="M100" s="68"/>
      <x:c r="N100" s="68"/>
      <x:c r="O100" s="68"/>
      <x:c r="P100" s="68"/>
      <x:c r="Q100" s="68"/>
      <x:c r="R100" s="68"/>
    </x:row>
    <x:row r="101" ht="15" hidden="0" customHeight="1">
      <x:c r="A101" s="68"/>
      <x:c r="B101" s="68"/>
      <x:c r="C101" s="68"/>
      <x:c r="D101" s="68"/>
      <x:c r="E101" s="68"/>
      <x:c r="F101" s="68"/>
      <x:c r="G101" s="68"/>
      <x:c r="H101" s="68"/>
      <x:c r="I101" s="68"/>
      <x:c r="J101" s="68"/>
      <x:c r="K101" s="68"/>
      <x:c r="L101" s="68"/>
      <x:c r="M101" s="68"/>
      <x:c r="N101" s="68"/>
      <x:c r="O101" s="68"/>
      <x:c r="P101" s="68"/>
      <x:c r="Q101" s="68"/>
      <x:c r="R101" s="68"/>
    </x:row>
    <x:row r="102" ht="15" hidden="0" customHeight="1">
      <x:c r="A102" s="68"/>
      <x:c r="B102" s="68"/>
      <x:c r="C102" s="68"/>
      <x:c r="D102" s="68"/>
      <x:c r="E102" s="68"/>
      <x:c r="F102" s="68"/>
      <x:c r="G102" s="68"/>
      <x:c r="H102" s="68"/>
      <x:c r="I102" s="68"/>
      <x:c r="J102" s="68"/>
      <x:c r="K102" s="68"/>
      <x:c r="L102" s="68"/>
      <x:c r="M102" s="68"/>
      <x:c r="N102" s="68"/>
      <x:c r="O102" s="68"/>
      <x:c r="P102" s="68"/>
      <x:c r="Q102" s="68"/>
      <x:c r="R102" s="68"/>
    </x:row>
    <x:row r="103" ht="15" hidden="0" customHeight="1">
      <x:c r="A103" s="68"/>
      <x:c r="B103" s="68"/>
      <x:c r="C103" s="68"/>
      <x:c r="D103" s="68"/>
      <x:c r="E103" s="68"/>
      <x:c r="F103" s="68"/>
      <x:c r="G103" s="68"/>
      <x:c r="H103" s="68"/>
      <x:c r="I103" s="68"/>
      <x:c r="J103" s="68"/>
      <x:c r="K103" s="68"/>
      <x:c r="L103" s="68"/>
      <x:c r="M103" s="68"/>
      <x:c r="N103" s="68"/>
      <x:c r="O103" s="68"/>
      <x:c r="P103" s="68"/>
      <x:c r="Q103" s="68"/>
      <x:c r="R103" s="68"/>
    </x:row>
    <x:row r="104" ht="15" hidden="0" customHeight="1">
      <x:c r="A104" s="68"/>
      <x:c r="B104" s="68"/>
      <x:c r="C104" s="68"/>
      <x:c r="D104" s="68"/>
      <x:c r="E104" s="68"/>
      <x:c r="F104" s="68"/>
      <x:c r="G104" s="68"/>
      <x:c r="H104" s="68"/>
      <x:c r="I104" s="68"/>
      <x:c r="J104" s="68"/>
      <x:c r="K104" s="68"/>
      <x:c r="L104" s="68"/>
      <x:c r="M104" s="68"/>
      <x:c r="N104" s="68"/>
      <x:c r="O104" s="68"/>
      <x:c r="P104" s="68"/>
      <x:c r="Q104" s="68"/>
      <x:c r="R104" s="68"/>
    </x:row>
    <x:row r="105" ht="15" hidden="0" customHeight="1">
      <x:c r="A105" s="68"/>
      <x:c r="B105" s="68"/>
      <x:c r="C105" s="68"/>
      <x:c r="D105" s="68"/>
      <x:c r="E105" s="68"/>
      <x:c r="F105" s="68"/>
      <x:c r="G105" s="68"/>
      <x:c r="H105" s="68"/>
      <x:c r="I105" s="68"/>
      <x:c r="J105" s="68"/>
      <x:c r="K105" s="68"/>
      <x:c r="L105" s="68"/>
      <x:c r="M105" s="68"/>
      <x:c r="N105" s="68"/>
      <x:c r="O105" s="68"/>
      <x:c r="P105" s="68"/>
      <x:c r="Q105" s="68"/>
      <x:c r="R105" s="68"/>
    </x:row>
    <x:row r="106" ht="15" hidden="0" customHeight="1">
      <x:c r="A106" s="68"/>
      <x:c r="B106" s="68"/>
      <x:c r="C106" s="68"/>
      <x:c r="D106" s="68"/>
      <x:c r="E106" s="68"/>
      <x:c r="F106" s="68"/>
      <x:c r="G106" s="68"/>
      <x:c r="H106" s="68"/>
      <x:c r="I106" s="68"/>
      <x:c r="J106" s="68"/>
      <x:c r="K106" s="68"/>
      <x:c r="L106" s="68"/>
      <x:c r="M106" s="68"/>
      <x:c r="N106" s="68"/>
      <x:c r="O106" s="68"/>
      <x:c r="P106" s="68"/>
      <x:c r="Q106" s="68"/>
      <x:c r="R106" s="68"/>
    </x:row>
    <x:row r="107" ht="15" hidden="0" customHeight="1">
      <x:c r="A107" s="68"/>
      <x:c r="B107" s="68"/>
      <x:c r="C107" s="68"/>
      <x:c r="D107" s="68"/>
      <x:c r="E107" s="68"/>
      <x:c r="F107" s="68"/>
      <x:c r="G107" s="68"/>
      <x:c r="H107" s="68"/>
      <x:c r="I107" s="68"/>
      <x:c r="J107" s="68"/>
      <x:c r="K107" s="68"/>
      <x:c r="L107" s="68"/>
      <x:c r="M107" s="68"/>
      <x:c r="N107" s="68"/>
      <x:c r="O107" s="68"/>
      <x:c r="P107" s="68"/>
      <x:c r="Q107" s="68"/>
      <x:c r="R107" s="68"/>
    </x:row>
    <x:row r="108" ht="15" hidden="0" customHeight="1">
      <x:c r="A108" s="68"/>
      <x:c r="B108" s="68"/>
      <x:c r="C108" s="68"/>
      <x:c r="D108" s="68"/>
      <x:c r="E108" s="68"/>
      <x:c r="F108" s="68"/>
      <x:c r="G108" s="68"/>
      <x:c r="H108" s="68"/>
      <x:c r="I108" s="68"/>
      <x:c r="J108" s="68"/>
      <x:c r="K108" s="68"/>
      <x:c r="L108" s="68"/>
      <x:c r="M108" s="68"/>
      <x:c r="N108" s="68"/>
      <x:c r="O108" s="68"/>
      <x:c r="P108" s="68"/>
      <x:c r="Q108" s="68"/>
      <x:c r="R108" s="68"/>
    </x:row>
    <x:row r="109" ht="15" hidden="0" customHeight="1">
      <x:c r="A109" s="68"/>
      <x:c r="B109" s="68"/>
      <x:c r="C109" s="68"/>
      <x:c r="D109" s="68"/>
      <x:c r="E109" s="68"/>
      <x:c r="F109" s="68"/>
      <x:c r="G109" s="68"/>
      <x:c r="H109" s="68"/>
      <x:c r="I109" s="68"/>
      <x:c r="J109" s="68"/>
      <x:c r="K109" s="68"/>
      <x:c r="L109" s="68"/>
      <x:c r="M109" s="68"/>
      <x:c r="N109" s="68"/>
      <x:c r="O109" s="68"/>
      <x:c r="P109" s="68"/>
      <x:c r="Q109" s="68"/>
      <x:c r="R109" s="68"/>
    </x:row>
    <x:row r="110" ht="15" hidden="0" customHeight="1">
      <x:c r="A110" s="68"/>
      <x:c r="B110" s="68"/>
      <x:c r="C110" s="68"/>
      <x:c r="D110" s="68"/>
      <x:c r="E110" s="68"/>
      <x:c r="F110" s="68"/>
      <x:c r="G110" s="68"/>
      <x:c r="H110" s="68"/>
      <x:c r="I110" s="68"/>
      <x:c r="J110" s="68"/>
      <x:c r="K110" s="68"/>
      <x:c r="L110" s="68"/>
      <x:c r="M110" s="68"/>
      <x:c r="N110" s="68"/>
      <x:c r="O110" s="68"/>
      <x:c r="P110" s="68"/>
      <x:c r="Q110" s="68"/>
      <x:c r="R110" s="68"/>
    </x:row>
    <x:row r="111" ht="15" hidden="0" customHeight="1">
      <x:c r="A111" s="68"/>
      <x:c r="B111" s="68"/>
      <x:c r="C111" s="68"/>
      <x:c r="D111" s="68"/>
      <x:c r="E111" s="68"/>
      <x:c r="F111" s="68"/>
      <x:c r="G111" s="68"/>
      <x:c r="H111" s="68"/>
      <x:c r="I111" s="68"/>
      <x:c r="J111" s="68"/>
      <x:c r="K111" s="68"/>
      <x:c r="L111" s="68"/>
      <x:c r="M111" s="68"/>
      <x:c r="N111" s="68"/>
      <x:c r="O111" s="68"/>
      <x:c r="P111" s="68"/>
      <x:c r="Q111" s="68"/>
      <x:c r="R111" s="68"/>
    </x:row>
    <x:row r="112" ht="15" hidden="0" customHeight="1">
      <x:c r="A112" s="68"/>
      <x:c r="B112" s="68"/>
      <x:c r="C112" s="68"/>
      <x:c r="D112" s="68"/>
      <x:c r="E112" s="68"/>
      <x:c r="F112" s="68"/>
      <x:c r="G112" s="68"/>
      <x:c r="H112" s="68"/>
      <x:c r="I112" s="68"/>
      <x:c r="J112" s="68"/>
      <x:c r="K112" s="68"/>
      <x:c r="L112" s="68"/>
      <x:c r="M112" s="68"/>
      <x:c r="N112" s="68"/>
      <x:c r="O112" s="68"/>
      <x:c r="P112" s="68"/>
      <x:c r="Q112" s="68"/>
      <x:c r="R112" s="68"/>
    </x:row>
    <x:row r="113" ht="15" hidden="0" customHeight="1">
      <x:c r="A113" s="68"/>
      <x:c r="B113" s="68"/>
      <x:c r="C113" s="68"/>
      <x:c r="D113" s="68"/>
      <x:c r="E113" s="68"/>
      <x:c r="F113" s="68"/>
      <x:c r="G113" s="68"/>
      <x:c r="H113" s="68"/>
      <x:c r="I113" s="68"/>
      <x:c r="J113" s="68"/>
      <x:c r="K113" s="68"/>
      <x:c r="L113" s="68"/>
      <x:c r="M113" s="68"/>
      <x:c r="N113" s="68"/>
      <x:c r="O113" s="68"/>
      <x:c r="P113" s="68"/>
      <x:c r="Q113" s="68"/>
      <x:c r="R113" s="68"/>
    </x:row>
    <x:row r="114" ht="15" hidden="0" customHeight="1">
      <x:c r="A114" s="68"/>
      <x:c r="B114" s="68"/>
      <x:c r="C114" s="68"/>
      <x:c r="D114" s="68"/>
      <x:c r="E114" s="68"/>
      <x:c r="F114" s="68"/>
      <x:c r="G114" s="68"/>
      <x:c r="H114" s="68"/>
      <x:c r="I114" s="68"/>
      <x:c r="J114" s="68"/>
      <x:c r="K114" s="68"/>
      <x:c r="L114" s="68"/>
      <x:c r="M114" s="68"/>
      <x:c r="N114" s="68"/>
      <x:c r="O114" s="68"/>
      <x:c r="P114" s="68"/>
      <x:c r="Q114" s="68"/>
      <x:c r="R114" s="68"/>
    </x:row>
    <x:row r="115" ht="15" hidden="0" customHeight="1">
      <x:c r="A115" s="68"/>
      <x:c r="B115" s="68"/>
      <x:c r="C115" s="68"/>
      <x:c r="D115" s="68"/>
      <x:c r="E115" s="68"/>
      <x:c r="F115" s="68"/>
      <x:c r="G115" s="68"/>
      <x:c r="H115" s="68"/>
      <x:c r="I115" s="68"/>
      <x:c r="J115" s="68"/>
      <x:c r="K115" s="68"/>
      <x:c r="L115" s="68"/>
      <x:c r="M115" s="68"/>
      <x:c r="N115" s="68"/>
      <x:c r="O115" s="68"/>
      <x:c r="P115" s="68"/>
      <x:c r="Q115" s="68"/>
      <x:c r="R115" s="68"/>
    </x:row>
    <x:row r="116" ht="15" hidden="0" customHeight="1">
      <x:c r="A116" s="68"/>
      <x:c r="B116" s="68"/>
      <x:c r="C116" s="68"/>
      <x:c r="D116" s="68"/>
      <x:c r="E116" s="68"/>
      <x:c r="F116" s="68"/>
      <x:c r="G116" s="68"/>
      <x:c r="H116" s="68"/>
      <x:c r="I116" s="68"/>
      <x:c r="J116" s="68"/>
      <x:c r="K116" s="68"/>
      <x:c r="L116" s="68"/>
      <x:c r="M116" s="68"/>
      <x:c r="N116" s="68"/>
      <x:c r="O116" s="68"/>
      <x:c r="P116" s="68"/>
      <x:c r="Q116" s="68"/>
      <x:c r="R116" s="68"/>
    </x:row>
    <x:row r="117" ht="15" hidden="0" customHeight="1">
      <x:c r="A117" s="68"/>
      <x:c r="B117" s="68"/>
      <x:c r="C117" s="68"/>
      <x:c r="D117" s="68"/>
      <x:c r="E117" s="68"/>
      <x:c r="F117" s="68"/>
      <x:c r="G117" s="68"/>
      <x:c r="H117" s="68"/>
      <x:c r="I117" s="68"/>
      <x:c r="J117" s="68"/>
      <x:c r="K117" s="68"/>
      <x:c r="L117" s="68"/>
      <x:c r="M117" s="68"/>
      <x:c r="N117" s="68"/>
      <x:c r="O117" s="68"/>
      <x:c r="P117" s="68"/>
      <x:c r="Q117" s="68"/>
      <x:c r="R117" s="68"/>
    </x:row>
    <x:row r="118" ht="15" hidden="0" customHeight="1">
      <x:c r="A118" s="68"/>
      <x:c r="B118" s="68"/>
      <x:c r="C118" s="68"/>
      <x:c r="D118" s="68"/>
      <x:c r="E118" s="68"/>
      <x:c r="F118" s="68"/>
      <x:c r="G118" s="68"/>
      <x:c r="H118" s="68"/>
      <x:c r="I118" s="68"/>
      <x:c r="J118" s="68"/>
      <x:c r="K118" s="68"/>
      <x:c r="L118" s="68"/>
      <x:c r="M118" s="68"/>
      <x:c r="N118" s="68"/>
      <x:c r="O118" s="68"/>
      <x:c r="P118" s="68"/>
      <x:c r="Q118" s="68"/>
      <x:c r="R118" s="68"/>
    </x:row>
    <x:row r="119" ht="15" hidden="0" customHeight="1">
      <x:c r="A119" s="68"/>
      <x:c r="B119" s="68"/>
      <x:c r="C119" s="68"/>
      <x:c r="D119" s="68"/>
      <x:c r="E119" s="68"/>
      <x:c r="F119" s="68"/>
      <x:c r="G119" s="68"/>
      <x:c r="H119" s="68"/>
      <x:c r="I119" s="68"/>
      <x:c r="J119" s="68"/>
      <x:c r="K119" s="68"/>
      <x:c r="L119" s="68"/>
      <x:c r="M119" s="68"/>
      <x:c r="N119" s="68"/>
      <x:c r="O119" s="68"/>
      <x:c r="P119" s="68"/>
      <x:c r="Q119" s="68"/>
      <x:c r="R119" s="68"/>
    </x:row>
    <x:row r="120" ht="15" hidden="0" customHeight="1">
      <x:c r="A120" s="68"/>
      <x:c r="B120" s="68"/>
      <x:c r="C120" s="68"/>
      <x:c r="D120" s="68"/>
      <x:c r="E120" s="68"/>
      <x:c r="F120" s="68"/>
      <x:c r="G120" s="68"/>
      <x:c r="H120" s="68"/>
      <x:c r="I120" s="68"/>
      <x:c r="J120" s="68"/>
      <x:c r="K120" s="68"/>
      <x:c r="L120" s="68"/>
      <x:c r="M120" s="68"/>
      <x:c r="N120" s="68"/>
      <x:c r="O120" s="68"/>
      <x:c r="P120" s="68"/>
      <x:c r="Q120" s="68"/>
      <x:c r="R120" s="68"/>
    </x:row>
  </x:sheetData>
  <x:mergeCells>
    <x:mergeCell ref="C2:R2"/>
    <x:mergeCell ref="C3:R3"/>
    <x:mergeCell ref="C19:G1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1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 ht="15" hidden="0" customHeight="1">
      <x:c r="A1" s="68"/>
      <x:c r="B1" s="68"/>
      <x:c r="C1" s="68"/>
      <x:c r="D1" s="68"/>
      <x:c r="E1" s="68"/>
      <x:c r="F1" s="68"/>
      <x:c r="G1" s="68"/>
      <x:c r="H1" s="68"/>
      <x:c r="I1" s="68"/>
      <x:c r="J1" s="68"/>
      <x:c r="K1" s="68"/>
      <x:c r="L1" s="68"/>
      <x:c r="M1" s="68"/>
      <x:c r="N1" s="68"/>
      <x:c r="O1" s="68"/>
      <x:c r="P1" s="68"/>
      <x:c r="Q1" s="68"/>
      <x:c r="R1" s="68"/>
    </x:row>
    <x:row r="2" ht="24" hidden="0" customHeight="1">
      <x:c r="A2" s="68"/>
      <x:c r="B2" s="68"/>
      <x:c r="C2" s="69" t="str">
        <x:v>Operating Model</x:v>
      </x:c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</x:row>
    <x:row r="3" ht="24" hidden="0" customHeight="1">
      <x:c r="A3" s="68"/>
      <x:c r="B3" s="68"/>
      <x:c r="C3" s="71" t="str">
        <x:v>Fifteen-year nominal forecast. Rupiah schedules display in billions unless stated.</x:v>
      </x:c>
      <x:c r="D3" s="68"/>
      <x:c r="E3" s="68"/>
      <x:c r="F3" s="68"/>
      <x:c r="G3" s="68"/>
      <x:c r="H3" s="68"/>
      <x:c r="I3" s="68"/>
      <x:c r="J3" s="68"/>
      <x:c r="K3" s="68"/>
      <x:c r="L3" s="68"/>
      <x:c r="M3" s="68"/>
      <x:c r="N3" s="68"/>
      <x:c r="O3" s="68"/>
      <x:c r="P3" s="68"/>
      <x:c r="Q3" s="68"/>
      <x:c r="R3" s="68"/>
    </x:row>
    <x:row r="4" ht="15" hidden="0" customHeight="1">
      <x:c r="A4" s="68"/>
      <x:c r="B4" s="68"/>
      <x:c r="C4" s="68"/>
      <x:c r="D4" s="68"/>
      <x:c r="E4" s="68"/>
      <x:c r="F4" s="68"/>
      <x:c r="G4" s="68"/>
      <x:c r="H4" s="68"/>
      <x:c r="I4" s="68"/>
      <x:c r="J4" s="68"/>
      <x:c r="K4" s="68"/>
      <x:c r="L4" s="68"/>
      <x:c r="M4" s="68"/>
      <x:c r="N4" s="68"/>
      <x:c r="O4" s="68"/>
      <x:c r="P4" s="68"/>
      <x:c r="Q4" s="68"/>
      <x:c r="R4" s="68"/>
    </x:row>
    <x:row r="5" ht="15" hidden="0" customHeight="1">
      <x:c r="A5" s="68"/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</x:row>
    <x:row r="6" ht="15" hidden="0" customHeight="1">
      <x:c r="A6" s="68"/>
      <x:c r="B6" s="68"/>
      <x:c r="C6" s="19" t="str">
        <x:v>Rp bn unless stated</x:v>
      </x:c>
      <x:c r="D6" s="19" t="str">
        <x:v>Year 1</x:v>
      </x:c>
      <x:c r="E6" s="19" t="str">
        <x:v>Year 2</x:v>
      </x:c>
      <x:c r="F6" s="19" t="str">
        <x:v>Year 3</x:v>
      </x:c>
      <x:c r="G6" s="19" t="str">
        <x:v>Year 4</x:v>
      </x:c>
      <x:c r="H6" s="19" t="str">
        <x:v>Year 5</x:v>
      </x:c>
      <x:c r="I6" s="19" t="str">
        <x:v>Year 6</x:v>
      </x:c>
      <x:c r="J6" s="19" t="str">
        <x:v>Year 7</x:v>
      </x:c>
      <x:c r="K6" s="19" t="str">
        <x:v>Year 8</x:v>
      </x:c>
      <x:c r="L6" s="19" t="str">
        <x:v>Year 9</x:v>
      </x:c>
      <x:c r="M6" s="19" t="str">
        <x:v>Year 10</x:v>
      </x:c>
      <x:c r="N6" s="19" t="str">
        <x:v>Year 11</x:v>
      </x:c>
      <x:c r="O6" s="19" t="str">
        <x:v>Year 12</x:v>
      </x:c>
      <x:c r="P6" s="19" t="str">
        <x:v>Year 13</x:v>
      </x:c>
      <x:c r="Q6" s="19" t="str">
        <x:v>Year 14</x:v>
      </x:c>
      <x:c r="R6" s="19" t="str">
        <x:v>Year 15</x:v>
      </x:c>
    </x:row>
    <x:row r="7" ht="15" hidden="0" customHeight="1">
      <x:c r="A7" s="68"/>
      <x:c r="B7" s="68"/>
      <x:c r="C7" s="11" t="str">
        <x:v>Visitor Revenue</x:v>
      </x:c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3"/>
    </x:row>
    <x:row r="8" ht="15" hidden="0" customHeight="1">
      <x:c r="A8" s="68"/>
      <x:c r="B8" s="68"/>
      <x:c r="C8" s="68" t="str">
        <x:v>Package utilization</x:v>
      </x:c>
      <x:c r="D8" s="88" t="n">
        <x:f>'Occupancy &amp; Rooms'!D8</x:f>
        <x:v>0.315</x:v>
      </x:c>
      <x:c r="E8" s="88" t="n">
        <x:f>'Occupancy &amp; Rooms'!E8</x:f>
        <x:v>0.45</x:v>
      </x:c>
      <x:c r="F8" s="88" t="n">
        <x:f>'Occupancy &amp; Rooms'!F8</x:f>
        <x:v>0.5850000000000001</x:v>
      </x:c>
      <x:c r="G8" s="88" t="n">
        <x:f>'Occupancy &amp; Rooms'!G8</x:f>
        <x:v>0.7200000000000001</x:v>
      </x:c>
      <x:c r="H8" s="88" t="n">
        <x:f>'Occupancy &amp; Rooms'!H8</x:f>
        <x:v>0.81</x:v>
      </x:c>
      <x:c r="I8" s="88" t="n">
        <x:f>'Occupancy &amp; Rooms'!I8</x:f>
        <x:v>0.9</x:v>
      </x:c>
      <x:c r="J8" s="88" t="n">
        <x:f>'Occupancy &amp; Rooms'!J8</x:f>
        <x:v>0.9</x:v>
      </x:c>
      <x:c r="K8" s="88" t="n">
        <x:f>'Occupancy &amp; Rooms'!K8</x:f>
        <x:v>0.9</x:v>
      </x:c>
      <x:c r="L8" s="88" t="n">
        <x:f>'Occupancy &amp; Rooms'!L8</x:f>
        <x:v>0.9</x:v>
      </x:c>
      <x:c r="M8" s="88" t="n">
        <x:f>'Occupancy &amp; Rooms'!M8</x:f>
        <x:v>0.9</x:v>
      </x:c>
      <x:c r="N8" s="88" t="n">
        <x:f>'Occupancy &amp; Rooms'!N8</x:f>
        <x:v>0.9</x:v>
      </x:c>
      <x:c r="O8" s="88" t="n">
        <x:f>'Occupancy &amp; Rooms'!O8</x:f>
        <x:v>0.9</x:v>
      </x:c>
      <x:c r="P8" s="88" t="n">
        <x:f>'Occupancy &amp; Rooms'!P8</x:f>
        <x:v>0.9</x:v>
      </x:c>
      <x:c r="Q8" s="88" t="n">
        <x:f>'Occupancy &amp; Rooms'!Q8</x:f>
        <x:v>0.9</x:v>
      </x:c>
      <x:c r="R8" s="88" t="n">
        <x:f>'Occupancy &amp; Rooms'!R8</x:f>
        <x:v>0.9</x:v>
      </x:c>
    </x:row>
    <x:row r="9" ht="15" hidden="0" customHeight="1">
      <x:c r="A9" s="68"/>
      <x:c r="B9" s="68"/>
      <x:c r="C9" s="68" t="str">
        <x:v>Package guests</x:v>
      </x:c>
      <x:c r="D9" s="103" t="n">
        <x:f>'Occupancy &amp; Rooms'!D9</x:f>
        <x:v>8316</x:v>
      </x:c>
      <x:c r="E9" s="103" t="n">
        <x:f>'Occupancy &amp; Rooms'!E9</x:f>
        <x:v>11880</x:v>
      </x:c>
      <x:c r="F9" s="103" t="n">
        <x:f>'Occupancy &amp; Rooms'!F9</x:f>
        <x:v>15444.000000000002</x:v>
      </x:c>
      <x:c r="G9" s="103" t="n">
        <x:f>'Occupancy &amp; Rooms'!G9</x:f>
        <x:v>19008.000000000004</x:v>
      </x:c>
      <x:c r="H9" s="103" t="n">
        <x:f>'Occupancy &amp; Rooms'!H9</x:f>
        <x:v>21384.000000000004</x:v>
      </x:c>
      <x:c r="I9" s="103" t="n">
        <x:f>'Occupancy &amp; Rooms'!I9</x:f>
        <x:v>23760</x:v>
      </x:c>
      <x:c r="J9" s="103" t="n">
        <x:f>'Occupancy &amp; Rooms'!J9</x:f>
        <x:v>23760</x:v>
      </x:c>
      <x:c r="K9" s="103" t="n">
        <x:f>'Occupancy &amp; Rooms'!K9</x:f>
        <x:v>23760</x:v>
      </x:c>
      <x:c r="L9" s="103" t="n">
        <x:f>'Occupancy &amp; Rooms'!L9</x:f>
        <x:v>23760</x:v>
      </x:c>
      <x:c r="M9" s="103" t="n">
        <x:f>'Occupancy &amp; Rooms'!M9</x:f>
        <x:v>23760</x:v>
      </x:c>
      <x:c r="N9" s="103" t="n">
        <x:f>'Occupancy &amp; Rooms'!N9</x:f>
        <x:v>23760</x:v>
      </x:c>
      <x:c r="O9" s="103" t="n">
        <x:f>'Occupancy &amp; Rooms'!O9</x:f>
        <x:v>23760</x:v>
      </x:c>
      <x:c r="P9" s="103" t="n">
        <x:f>'Occupancy &amp; Rooms'!P9</x:f>
        <x:v>23760</x:v>
      </x:c>
      <x:c r="Q9" s="103" t="n">
        <x:f>'Occupancy &amp; Rooms'!Q9</x:f>
        <x:v>23760</x:v>
      </x:c>
      <x:c r="R9" s="103" t="n">
        <x:f>'Occupancy &amp; Rooms'!R9</x:f>
        <x:v>23760</x:v>
      </x:c>
    </x:row>
    <x:row r="10" ht="15" hidden="0" customHeight="1">
      <x:c r="A10" s="68"/>
      <x:c r="B10" s="68"/>
      <x:c r="C10" s="68" t="str">
        <x:v>Package revenue</x:v>
      </x:c>
      <x:c r="D10" s="101" t="n">
        <x:f>D9*('Assumptions'!$D$31*'Assumptions'!$D$29+'Assumptions'!$D$32*'Assumptions'!$D$28+'Assumptions'!$D$33)*(1+'Assumptions'!$D$37)^0</x:f>
        <x:v>8108100000</x:v>
      </x:c>
      <x:c r="E10" s="101" t="n">
        <x:f>E9*('Assumptions'!$D$31*'Assumptions'!$D$29+'Assumptions'!$D$32*'Assumptions'!$D$28+'Assumptions'!$D$33)*(1+'Assumptions'!$D$37)^1</x:f>
        <x:v>11930490000</x:v>
      </x:c>
      <x:c r="F10" s="101" t="n">
        <x:f>F9*('Assumptions'!$D$31*'Assumptions'!$D$29+'Assumptions'!$D$32*'Assumptions'!$D$28+'Assumptions'!$D$33)*(1+'Assumptions'!$D$37)^2</x:f>
        <x:v>15974926110.000002</x:v>
      </x:c>
      <x:c r="G10" s="101" t="n">
        <x:f>G9*('Assumptions'!$D$31*'Assumptions'!$D$29+'Assumptions'!$D$32*'Assumptions'!$D$28+'Assumptions'!$D$33)*(1+'Assumptions'!$D$37)^3</x:f>
        <x:v>20251290945.600006</x:v>
      </x:c>
      <x:c r="H10" s="101" t="n">
        <x:f>H9*('Assumptions'!$D$31*'Assumptions'!$D$29+'Assumptions'!$D$32*'Assumptions'!$D$28+'Assumptions'!$D$33)*(1+'Assumptions'!$D$37)^4</x:f>
        <x:v>23466183383.21401</x:v>
      </x:c>
      <x:c r="I10" s="101" t="n">
        <x:f>I9*('Assumptions'!$D$31*'Assumptions'!$D$29+'Assumptions'!$D$32*'Assumptions'!$D$28+'Assumptions'!$D$33)*(1+'Assumptions'!$D$37)^5</x:f>
        <x:v>26855743205.233803</x:v>
      </x:c>
      <x:c r="J10" s="101" t="n">
        <x:f>J9*('Assumptions'!$D$31*'Assumptions'!$D$29+'Assumptions'!$D$32*'Assumptions'!$D$28+'Assumptions'!$D$33)*(1+'Assumptions'!$D$37)^6</x:f>
        <x:v>27661415501.390816</x:v>
      </x:c>
      <x:c r="K10" s="101" t="n">
        <x:f>K9*('Assumptions'!$D$31*'Assumptions'!$D$29+'Assumptions'!$D$32*'Assumptions'!$D$28+'Assumptions'!$D$33)*(1+'Assumptions'!$D$37)^7</x:f>
        <x:v>28491257966.432545</x:v>
      </x:c>
      <x:c r="L10" s="101" t="n">
        <x:f>L9*('Assumptions'!$D$31*'Assumptions'!$D$29+'Assumptions'!$D$32*'Assumptions'!$D$28+'Assumptions'!$D$33)*(1+'Assumptions'!$D$37)^8</x:f>
        <x:v>29345995705.42552</x:v>
      </x:c>
      <x:c r="M10" s="101" t="n">
        <x:f>M9*('Assumptions'!$D$31*'Assumptions'!$D$29+'Assumptions'!$D$32*'Assumptions'!$D$28+'Assumptions'!$D$33)*(1+'Assumptions'!$D$37)^9</x:f>
        <x:v>30226375576.588287</x:v>
      </x:c>
      <x:c r="N10" s="101" t="n">
        <x:f>N9*('Assumptions'!$D$31*'Assumptions'!$D$29+'Assumptions'!$D$32*'Assumptions'!$D$28+'Assumptions'!$D$33)*(1+'Assumptions'!$D$37)^10</x:f>
        <x:v>31133166843.885937</x:v>
      </x:c>
      <x:c r="O10" s="101" t="n">
        <x:f>O9*('Assumptions'!$D$31*'Assumptions'!$D$29+'Assumptions'!$D$32*'Assumptions'!$D$28+'Assumptions'!$D$33)*(1+'Assumptions'!$D$37)^11</x:f>
        <x:v>32067161849.202515</x:v>
      </x:c>
      <x:c r="P10" s="101" t="n">
        <x:f>P9*('Assumptions'!$D$31*'Assumptions'!$D$29+'Assumptions'!$D$32*'Assumptions'!$D$28+'Assumptions'!$D$33)*(1+'Assumptions'!$D$37)^12</x:f>
        <x:v>33029176704.67859</x:v>
      </x:c>
      <x:c r="Q10" s="101" t="n">
        <x:f>Q9*('Assumptions'!$D$31*'Assumptions'!$D$29+'Assumptions'!$D$32*'Assumptions'!$D$28+'Assumptions'!$D$33)*(1+'Assumptions'!$D$37)^13</x:f>
        <x:v>34020052005.81895</x:v>
      </x:c>
      <x:c r="R10" s="101" t="n">
        <x:f>R9*('Assumptions'!$D$31*'Assumptions'!$D$29+'Assumptions'!$D$32*'Assumptions'!$D$28+'Assumptions'!$D$33)*(1+'Assumptions'!$D$37)^14</x:f>
        <x:v>35040653565.99352</x:v>
      </x:c>
    </x:row>
    <x:row r="11" ht="15" hidden="0" customHeight="1">
      <x:c r="A11" s="68"/>
      <x:c r="B11" s="68"/>
      <x:c r="C11" s="68" t="str">
        <x:v>Weekend utilization</x:v>
      </x:c>
      <x:c r="D11" s="101" t="n">
        <x:f>MIN(100%,'Assumptions'!$H$12*'Assumptions'!D61)</x:f>
        <x:v>0.25</x:v>
      </x:c>
      <x:c r="E11" s="101" t="n">
        <x:f>MIN(100%,'Assumptions'!$H$12*'Assumptions'!E61)</x:f>
        <x:v>0.325</x:v>
      </x:c>
      <x:c r="F11" s="101" t="n">
        <x:f>MIN(100%,'Assumptions'!$H$12*'Assumptions'!F61)</x:f>
        <x:v>0.4</x:v>
      </x:c>
      <x:c r="G11" s="101" t="n">
        <x:f>MIN(100%,'Assumptions'!$H$12*'Assumptions'!G61)</x:f>
        <x:v>0.45</x:v>
      </x:c>
      <x:c r="H11" s="101" t="n">
        <x:f>MIN(100%,'Assumptions'!$H$12*'Assumptions'!H61)</x:f>
        <x:v>0.5</x:v>
      </x:c>
      <x:c r="I11" s="101" t="n">
        <x:f>MIN(100%,'Assumptions'!$H$12*'Assumptions'!I61)</x:f>
        <x:v>0.5</x:v>
      </x:c>
      <x:c r="J11" s="101" t="n">
        <x:f>MIN(100%,'Assumptions'!$H$12*'Assumptions'!J61)</x:f>
        <x:v>0.5</x:v>
      </x:c>
      <x:c r="K11" s="101" t="n">
        <x:f>MIN(100%,'Assumptions'!$H$12*'Assumptions'!K61)</x:f>
        <x:v>0.5</x:v>
      </x:c>
      <x:c r="L11" s="101" t="n">
        <x:f>MIN(100%,'Assumptions'!$H$12*'Assumptions'!L61)</x:f>
        <x:v>0.5</x:v>
      </x:c>
      <x:c r="M11" s="101" t="n">
        <x:f>MIN(100%,'Assumptions'!$H$12*'Assumptions'!M61)</x:f>
        <x:v>0.5</x:v>
      </x:c>
      <x:c r="N11" s="101" t="n">
        <x:f>MIN(100%,'Assumptions'!$H$12*'Assumptions'!N61)</x:f>
        <x:v>0.5</x:v>
      </x:c>
      <x:c r="O11" s="101" t="n">
        <x:f>MIN(100%,'Assumptions'!$H$12*'Assumptions'!O61)</x:f>
        <x:v>0.5</x:v>
      </x:c>
      <x:c r="P11" s="101" t="n">
        <x:f>MIN(100%,'Assumptions'!$H$12*'Assumptions'!P61)</x:f>
        <x:v>0.5</x:v>
      </x:c>
      <x:c r="Q11" s="101" t="n">
        <x:f>MIN(100%,'Assumptions'!$H$12*'Assumptions'!Q61)</x:f>
        <x:v>0.5</x:v>
      </x:c>
      <x:c r="R11" s="101" t="n">
        <x:f>MIN(100%,'Assumptions'!$H$12*'Assumptions'!R61)</x:f>
        <x:v>0.5</x:v>
      </x:c>
    </x:row>
    <x:row r="12" ht="15" hidden="0" customHeight="1">
      <x:c r="A12" s="68"/>
      <x:c r="B12" s="68"/>
      <x:c r="C12" s="68" t="str">
        <x:v>Weekend visitors</x:v>
      </x:c>
      <x:c r="D12" s="103" t="n">
        <x:f>'Assumptions'!$D$34*D11*52</x:f>
        <x:v>15600</x:v>
      </x:c>
      <x:c r="E12" s="103" t="n">
        <x:f>'Assumptions'!$D$34*E11*52</x:f>
        <x:v>20280</x:v>
      </x:c>
      <x:c r="F12" s="103" t="n">
        <x:f>'Assumptions'!$D$34*F11*52</x:f>
        <x:v>24960</x:v>
      </x:c>
      <x:c r="G12" s="103" t="n">
        <x:f>'Assumptions'!$D$34*G11*52</x:f>
        <x:v>28080</x:v>
      </x:c>
      <x:c r="H12" s="103" t="n">
        <x:f>'Assumptions'!$D$34*H11*52</x:f>
        <x:v>31200</x:v>
      </x:c>
      <x:c r="I12" s="103" t="n">
        <x:f>'Assumptions'!$D$34*I11*52</x:f>
        <x:v>31200</x:v>
      </x:c>
      <x:c r="J12" s="103" t="n">
        <x:f>'Assumptions'!$D$34*J11*52</x:f>
        <x:v>31200</x:v>
      </x:c>
      <x:c r="K12" s="103" t="n">
        <x:f>'Assumptions'!$D$34*K11*52</x:f>
        <x:v>31200</x:v>
      </x:c>
      <x:c r="L12" s="103" t="n">
        <x:f>'Assumptions'!$D$34*L11*52</x:f>
        <x:v>31200</x:v>
      </x:c>
      <x:c r="M12" s="103" t="n">
        <x:f>'Assumptions'!$D$34*M11*52</x:f>
        <x:v>31200</x:v>
      </x:c>
      <x:c r="N12" s="103" t="n">
        <x:f>'Assumptions'!$D$34*N11*52</x:f>
        <x:v>31200</x:v>
      </x:c>
      <x:c r="O12" s="103" t="n">
        <x:f>'Assumptions'!$D$34*O11*52</x:f>
        <x:v>31200</x:v>
      </x:c>
      <x:c r="P12" s="103" t="n">
        <x:f>'Assumptions'!$D$34*P11*52</x:f>
        <x:v>31200</x:v>
      </x:c>
      <x:c r="Q12" s="103" t="n">
        <x:f>'Assumptions'!$D$34*Q11*52</x:f>
        <x:v>31200</x:v>
      </x:c>
      <x:c r="R12" s="103" t="n">
        <x:f>'Assumptions'!$D$34*R11*52</x:f>
        <x:v>31200</x:v>
      </x:c>
    </x:row>
    <x:row r="13" ht="15" hidden="0" customHeight="1">
      <x:c r="A13" s="68"/>
      <x:c r="B13" s="68"/>
      <x:c r="C13" s="68" t="str">
        <x:v>Weekend visitor revenue</x:v>
      </x:c>
      <x:c r="D13" s="101" t="n">
        <x:f>D12*'Assumptions'!$D$35*(1+'Assumptions'!$D$37)^0</x:f>
        <x:v>5460000000</x:v>
      </x:c>
      <x:c r="E13" s="101" t="n">
        <x:f>E12*'Assumptions'!$D$35*(1+'Assumptions'!$D$37)^1</x:f>
        <x:v>7310940000</x:v>
      </x:c>
      <x:c r="F13" s="101" t="n">
        <x:f>F12*'Assumptions'!$D$35*(1+'Assumptions'!$D$37)^2</x:f>
        <x:v>9268022400</x:v>
      </x:c>
      <x:c r="G13" s="101" t="n">
        <x:f>G12*'Assumptions'!$D$35*(1+'Assumptions'!$D$37)^3</x:f>
        <x:v>10739320956</x:v>
      </x:c>
      <x:c r="H13" s="101" t="n">
        <x:f>H12*'Assumptions'!$D$35*(1+'Assumptions'!$D$37)^4</x:f>
        <x:v>12290556205.2</x:v>
      </x:c>
      <x:c r="I13" s="101" t="n">
        <x:f>I12*'Assumptions'!$D$35*(1+'Assumptions'!$D$37)^5</x:f>
        <x:v>12659272891.356</x:v>
      </x:c>
      <x:c r="J13" s="101" t="n">
        <x:f>J12*'Assumptions'!$D$35*(1+'Assumptions'!$D$37)^6</x:f>
        <x:v>13039051078.096682</x:v>
      </x:c>
      <x:c r="K13" s="101" t="n">
        <x:f>K12*'Assumptions'!$D$35*(1+'Assumptions'!$D$37)^7</x:f>
        <x:v>13430222610.439583</x:v>
      </x:c>
      <x:c r="L13" s="101" t="n">
        <x:f>L12*'Assumptions'!$D$35*(1+'Assumptions'!$D$37)^8</x:f>
        <x:v>13833129288.752771</x:v>
      </x:c>
      <x:c r="M13" s="101" t="n">
        <x:f>M12*'Assumptions'!$D$35*(1+'Assumptions'!$D$37)^9</x:f>
        <x:v>14248123167.415354</x:v>
      </x:c>
      <x:c r="N13" s="101" t="n">
        <x:f>N12*'Assumptions'!$D$35*(1+'Assumptions'!$D$37)^10</x:f>
        <x:v>14675566862.437815</x:v>
      </x:c>
      <x:c r="O13" s="101" t="n">
        <x:f>O12*'Assumptions'!$D$35*(1+'Assumptions'!$D$37)^11</x:f>
        <x:v>15115833868.31095</x:v>
      </x:c>
      <x:c r="P13" s="101" t="n">
        <x:f>P12*'Assumptions'!$D$35*(1+'Assumptions'!$D$37)^12</x:f>
        <x:v>15569308884.360277</x:v>
      </x:c>
      <x:c r="Q13" s="101" t="n">
        <x:f>Q12*'Assumptions'!$D$35*(1+'Assumptions'!$D$37)^13</x:f>
        <x:v>16036388150.891088</x:v>
      </x:c>
      <x:c r="R13" s="101" t="n">
        <x:f>R12*'Assumptions'!$D$35*(1+'Assumptions'!$D$37)^14</x:f>
        <x:v>16517479795.417822</x:v>
      </x:c>
    </x:row>
    <x:row r="14" ht="15" hidden="0" customHeight="1">
      <x:c r="A14" s="68"/>
      <x:c r="B14" s="68"/>
      <x:c r="C14" s="68" t="str">
        <x:v>Total visitor revenue</x:v>
      </x:c>
      <x:c r="D14" s="101" t="n">
        <x:f>SUM(D10,D13)</x:f>
        <x:v>13568100000</x:v>
      </x:c>
      <x:c r="E14" s="101" t="n">
        <x:f>SUM(E10,E13)</x:f>
        <x:v>19241430000</x:v>
      </x:c>
      <x:c r="F14" s="101" t="n">
        <x:f>SUM(F10,F13)</x:f>
        <x:v>25242948510</x:v>
      </x:c>
      <x:c r="G14" s="101" t="n">
        <x:f>SUM(G10,G13)</x:f>
        <x:v>30990611901.600006</x:v>
      </x:c>
      <x:c r="H14" s="101" t="n">
        <x:f>SUM(H10,H13)</x:f>
        <x:v>35756739588.41401</x:v>
      </x:c>
      <x:c r="I14" s="101" t="n">
        <x:f>SUM(I10,I13)</x:f>
        <x:v>39515016096.589806</x:v>
      </x:c>
      <x:c r="J14" s="101" t="n">
        <x:f>SUM(J10,J13)</x:f>
        <x:v>40700466579.487495</x:v>
      </x:c>
      <x:c r="K14" s="101" t="n">
        <x:f>SUM(K10,K13)</x:f>
        <x:v>41921480576.87213</x:v>
      </x:c>
      <x:c r="L14" s="101" t="n">
        <x:f>SUM(L10,L13)</x:f>
        <x:v>43179124994.17829</x:v>
      </x:c>
      <x:c r="M14" s="101" t="n">
        <x:f>SUM(M10,M13)</x:f>
        <x:v>44474498744.00364</x:v>
      </x:c>
      <x:c r="N14" s="101" t="n">
        <x:f>SUM(N10,N13)</x:f>
        <x:v>45808733706.32375</x:v>
      </x:c>
      <x:c r="O14" s="101" t="n">
        <x:f>SUM(O10,O13)</x:f>
        <x:v>47182995717.513466</x:v>
      </x:c>
      <x:c r="P14" s="101" t="n">
        <x:f>SUM(P10,P13)</x:f>
        <x:v>48598485589.038864</x:v>
      </x:c>
      <x:c r="Q14" s="101" t="n">
        <x:f>SUM(Q10,Q13)</x:f>
        <x:v>50056440156.71004</x:v>
      </x:c>
      <x:c r="R14" s="101" t="n">
        <x:f>SUM(R10,R13)</x:f>
        <x:v>51558133361.41135</x:v>
      </x:c>
    </x:row>
    <x:row r="15" ht="15" hidden="0" customHeight="1">
      <x:c r="A15" s="68"/>
      <x:c r="B15" s="68"/>
      <x:c r="C15" s="11" t="str">
        <x:v>Product Revenue</x:v>
      </x:c>
      <x:c r="D15" s="40"/>
      <x:c r="E15" s="40"/>
      <x:c r="F15" s="40"/>
      <x:c r="G15" s="40"/>
      <x:c r="H15" s="40"/>
      <x:c r="I15" s="40"/>
      <x:c r="J15" s="40"/>
      <x:c r="K15" s="40"/>
      <x:c r="L15" s="40"/>
      <x:c r="M15" s="40"/>
      <x:c r="N15" s="40"/>
      <x:c r="O15" s="40"/>
      <x:c r="P15" s="40"/>
      <x:c r="Q15" s="40"/>
      <x:c r="R15" s="41"/>
    </x:row>
    <x:row r="16" ht="15" hidden="0" customHeight="1">
      <x:c r="A16" s="68"/>
      <x:c r="B16" s="68"/>
      <x:c r="C16" s="68" t="str">
        <x:v>Avocado reference revenue</x:v>
      </x:c>
      <x:c r="D16" s="101" t="n">
        <x:f>'Avocado Reference'!D7*'Attractions'!$D$7</x:f>
        <x:v>18000000</x:v>
      </x:c>
      <x:c r="E16" s="101" t="n">
        <x:f>'Avocado Reference'!E7*'Attractions'!$D$7</x:f>
        <x:v>293150000</x:v>
      </x:c>
      <x:c r="F16" s="101" t="n">
        <x:f>'Avocado Reference'!F7*'Attractions'!$D$7</x:f>
        <x:v>905470650</x:v>
      </x:c>
      <x:c r="G16" s="101" t="n">
        <x:f>'Avocado Reference'!G7*'Attractions'!$D$7</x:f>
        <x:v>1796253562.5</x:v>
      </x:c>
      <x:c r="H16" s="101" t="n">
        <x:f>'Avocado Reference'!H7*'Attractions'!$D$7</x:f>
        <x:v>2455056478.8125</x:v>
      </x:c>
      <x:c r="I16" s="101" t="n">
        <x:f>'Avocado Reference'!I7*'Attractions'!$D$7</x:f>
        <x:v>2839852716.88688</x:v>
      </x:c>
      <x:c r="J16" s="101" t="n">
        <x:f>'Avocado Reference'!J7*'Attractions'!$D$7</x:f>
        <x:v>3200772389.3622603</x:v>
      </x:c>
      <x:c r="K16" s="101" t="n">
        <x:f>'Avocado Reference'!K7*'Attractions'!$D$7</x:f>
        <x:v>3675991674.24688</x:v>
      </x:c>
      <x:c r="L16" s="101" t="n">
        <x:f>'Avocado Reference'!L7*'Attractions'!$D$7</x:f>
        <x:v>4148642371.5748997</x:v>
      </x:c>
      <x:c r="M16" s="101" t="n">
        <x:f>'Avocado Reference'!M7*'Attractions'!$D$7</x:f>
        <x:v>4642628108.97292</x:v>
      </x:c>
      <x:c r="N16" s="101" t="n">
        <x:f>'Avocado Reference'!N7*'Attractions'!$D$7</x:f>
        <x:v>5158720231.758619</x:v>
      </x:c>
      <x:c r="O16" s="101" t="n">
        <x:f>'Avocado Reference'!O7*'Attractions'!$D$7</x:f>
        <x:v>5697715318.115479</x:v>
      </x:c>
      <x:c r="P16" s="101" t="n">
        <x:f>'Avocado Reference'!P7*'Attractions'!$D$7</x:f>
        <x:v>6260435958.64532</x:v>
      </x:c>
      <x:c r="Q16" s="101" t="n">
        <x:f>'Avocado Reference'!Q7*'Attractions'!$D$7</x:f>
        <x:v>6847731559.12784</x:v>
      </x:c>
      <x:c r="R16" s="101" t="n">
        <x:f>'Avocado Reference'!R7*'Attractions'!$D$7</x:f>
        <x:v>7460479167.160339</x:v>
      </x:c>
    </x:row>
    <x:row r="17" ht="15" hidden="0" customHeight="1">
      <x:c r="A17" s="68"/>
      <x:c r="B17" s="68"/>
      <x:c r="C17" s="68" t="str">
        <x:v>Other external product revenue</x:v>
      </x:c>
      <x:c r="D17" s="101" t="n">
        <x:f>'Attractions'!$H$14*'Assumptions'!$H$15*'Assumptions'!D62*(1+'Assumptions'!$D$37)^0</x:f>
        <x:v>6060000000</x:v>
      </x:c>
      <x:c r="E17" s="101" t="n">
        <x:f>'Attractions'!$H$14*'Assumptions'!$H$15*'Assumptions'!E62*(1+'Assumptions'!$D$37)^1</x:f>
        <x:v>7802250000</x:v>
      </x:c>
      <x:c r="F17" s="101" t="n">
        <x:f>'Attractions'!$H$14*'Assumptions'!$H$15*'Assumptions'!F62*(1+'Assumptions'!$D$37)^2</x:f>
        <x:v>9643581000</x:v>
      </x:c>
      <x:c r="G17" s="101" t="n">
        <x:f>'Attractions'!$H$14*'Assumptions'!$H$15*'Assumptions'!G62*(1+'Assumptions'!$D$37)^3</x:f>
        <x:v>11036542700</x:v>
      </x:c>
      <x:c r="H17" s="101" t="n">
        <x:f>'Attractions'!$H$14*'Assumptions'!$H$15*'Assumptions'!H62*(1+'Assumptions'!$D$37)^4</x:f>
        <x:v>11367638981.000002</x:v>
      </x:c>
      <x:c r="I17" s="101" t="n">
        <x:f>'Attractions'!$H$14*'Assumptions'!$H$15*'Assumptions'!I62*(1+'Assumptions'!$D$37)^5</x:f>
        <x:v>11708668150.43</x:v>
      </x:c>
      <x:c r="J17" s="101" t="n">
        <x:f>'Attractions'!$H$14*'Assumptions'!$H$15*'Assumptions'!J62*(1+'Assumptions'!$D$37)^6</x:f>
        <x:v>12059928194.942902</x:v>
      </x:c>
      <x:c r="K17" s="101" t="n">
        <x:f>'Attractions'!$H$14*'Assumptions'!$H$15*'Assumptions'!K62*(1+'Assumptions'!$D$37)^7</x:f>
        <x:v>12421726040.79119</x:v>
      </x:c>
      <x:c r="L17" s="101" t="n">
        <x:f>'Attractions'!$H$14*'Assumptions'!$H$15*'Assumptions'!L62*(1+'Assumptions'!$D$37)^8</x:f>
        <x:v>12794377822.014925</x:v>
      </x:c>
      <x:c r="M17" s="101" t="n">
        <x:f>'Attractions'!$H$14*'Assumptions'!$H$15*'Assumptions'!M62*(1+'Assumptions'!$D$37)^9</x:f>
        <x:v>13178209156.675373</x:v>
      </x:c>
      <x:c r="N17" s="101" t="n">
        <x:f>'Attractions'!$H$14*'Assumptions'!$H$15*'Assumptions'!N62*(1+'Assumptions'!$D$37)^10</x:f>
        <x:v>13573555431.375635</x:v>
      </x:c>
      <x:c r="O17" s="101" t="n">
        <x:f>'Attractions'!$H$14*'Assumptions'!$H$15*'Assumptions'!O62*(1+'Assumptions'!$D$37)^11</x:f>
        <x:v>13980762094.316904</x:v>
      </x:c>
      <x:c r="P17" s="101" t="n">
        <x:f>'Attractions'!$H$14*'Assumptions'!$H$15*'Assumptions'!P62*(1+'Assumptions'!$D$37)^12</x:f>
        <x:v>14400184957.14641</x:v>
      </x:c>
      <x:c r="Q17" s="101" t="n">
        <x:f>'Attractions'!$H$14*'Assumptions'!$H$15*'Assumptions'!Q62*(1+'Assumptions'!$D$37)^13</x:f>
        <x:v>14832190505.860804</x:v>
      </x:c>
      <x:c r="R17" s="101" t="n">
        <x:f>'Attractions'!$H$14*'Assumptions'!$H$15*'Assumptions'!R62*(1+'Assumptions'!$D$37)^14</x:f>
        <x:v>15277156221.03663</x:v>
      </x:c>
    </x:row>
    <x:row r="18" ht="15" hidden="0" customHeight="1">
      <x:c r="A18" s="68"/>
      <x:c r="B18" s="68"/>
      <x:c r="C18" s="68" t="str">
        <x:v>Total product revenue</x:v>
      </x:c>
      <x:c r="D18" s="101" t="n">
        <x:f>SUM(D16:D17)</x:f>
        <x:v>6078000000</x:v>
      </x:c>
      <x:c r="E18" s="101" t="n">
        <x:f>SUM(E16:E17)</x:f>
        <x:v>8095400000</x:v>
      </x:c>
      <x:c r="F18" s="101" t="n">
        <x:f>SUM(F16:F17)</x:f>
        <x:v>10549051650</x:v>
      </x:c>
      <x:c r="G18" s="101" t="n">
        <x:f>SUM(G16:G17)</x:f>
        <x:v>12832796262.5</x:v>
      </x:c>
      <x:c r="H18" s="101" t="n">
        <x:f>SUM(H16:H17)</x:f>
        <x:v>13822695459.812502</x:v>
      </x:c>
      <x:c r="I18" s="101" t="n">
        <x:f>SUM(I16:I17)</x:f>
        <x:v>14548520867.31688</x:v>
      </x:c>
      <x:c r="J18" s="101" t="n">
        <x:f>SUM(J16:J17)</x:f>
        <x:v>15260700584.305162</x:v>
      </x:c>
      <x:c r="K18" s="101" t="n">
        <x:f>SUM(K16:K17)</x:f>
        <x:v>16097717715.038069</x:v>
      </x:c>
      <x:c r="L18" s="101" t="n">
        <x:f>SUM(L16:L17)</x:f>
        <x:v>16943020193.589825</x:v>
      </x:c>
      <x:c r="M18" s="101" t="n">
        <x:f>SUM(M16:M17)</x:f>
        <x:v>17820837265.648293</x:v>
      </x:c>
      <x:c r="N18" s="101" t="n">
        <x:f>SUM(N16:N17)</x:f>
        <x:v>18732275663.134254</x:v>
      </x:c>
      <x:c r="O18" s="101" t="n">
        <x:f>SUM(O16:O17)</x:f>
        <x:v>19678477412.432384</x:v>
      </x:c>
      <x:c r="P18" s="101" t="n">
        <x:f>SUM(P16:P17)</x:f>
        <x:v>20660620915.79173</x:v>
      </x:c>
      <x:c r="Q18" s="101" t="n">
        <x:f>SUM(Q16:Q17)</x:f>
        <x:v>21679922064.988644</x:v>
      </x:c>
      <x:c r="R18" s="101" t="n">
        <x:f>SUM(R16:R17)</x:f>
        <x:v>22737635388.196968</x:v>
      </x:c>
    </x:row>
    <x:row r="19" ht="15" hidden="0" customHeight="1">
      <x:c r="A19" s="68"/>
      <x:c r="B19" s="68"/>
      <x:c r="C19" s="98" t="str">
        <x:v>Total revenue</x:v>
      </x:c>
      <x:c r="D19" s="99" t="n">
        <x:f>SUM(D14,D18)</x:f>
        <x:v>19646100000</x:v>
      </x:c>
      <x:c r="E19" s="99" t="n">
        <x:f>SUM(E14,E18)</x:f>
        <x:v>27336830000</x:v>
      </x:c>
      <x:c r="F19" s="99" t="n">
        <x:f>SUM(F14,F18)</x:f>
        <x:v>35792000160</x:v>
      </x:c>
      <x:c r="G19" s="99" t="n">
        <x:f>SUM(G14,G18)</x:f>
        <x:v>43823408164.100006</x:v>
      </x:c>
      <x:c r="H19" s="99" t="n">
        <x:f>SUM(H14,H18)</x:f>
        <x:v>49579435048.22651</x:v>
      </x:c>
      <x:c r="I19" s="99" t="n">
        <x:f>SUM(I14,I18)</x:f>
        <x:v>54063536963.906685</x:v>
      </x:c>
      <x:c r="J19" s="99" t="n">
        <x:f>SUM(J14,J18)</x:f>
        <x:v>55961167163.792656</x:v>
      </x:c>
      <x:c r="K19" s="99" t="n">
        <x:f>SUM(K14,K18)</x:f>
        <x:v>58019198291.9102</x:v>
      </x:c>
      <x:c r="L19" s="99" t="n">
        <x:f>SUM(L14,L18)</x:f>
        <x:v>60122145187.76811</x:v>
      </x:c>
      <x:c r="M19" s="99" t="n">
        <x:f>SUM(M14,M18)</x:f>
        <x:v>62295336009.65193</x:v>
      </x:c>
      <x:c r="N19" s="99" t="n">
        <x:f>SUM(N14,N18)</x:f>
        <x:v>64541009369.45801</x:v>
      </x:c>
      <x:c r="O19" s="99" t="n">
        <x:f>SUM(O14,O18)</x:f>
        <x:v>66861473129.94585</x:v>
      </x:c>
      <x:c r="P19" s="99" t="n">
        <x:f>SUM(P14,P18)</x:f>
        <x:v>69259106504.8306</x:v>
      </x:c>
      <x:c r="Q19" s="99" t="n">
        <x:f>SUM(Q14,Q18)</x:f>
        <x:v>71736362221.69868</x:v>
      </x:c>
      <x:c r="R19" s="99" t="n">
        <x:f>SUM(R14,R18)</x:f>
        <x:v>74295768749.6083</x:v>
      </x:c>
    </x:row>
    <x:row r="20" ht="15" hidden="0" customHeight="1">
      <x:c r="A20" s="68"/>
      <x:c r="B20" s="68"/>
      <x:c r="C20" s="11" t="str">
        <x:v>Profit and Cash Flow</x:v>
      </x:c>
      <x:c r="D20" s="40"/>
      <x:c r="E20" s="40"/>
      <x:c r="F20" s="40"/>
      <x:c r="G20" s="40"/>
      <x:c r="H20" s="40"/>
      <x:c r="I20" s="40"/>
      <x:c r="J20" s="40"/>
      <x:c r="K20" s="40"/>
      <x:c r="L20" s="40"/>
      <x:c r="M20" s="40"/>
      <x:c r="N20" s="40"/>
      <x:c r="O20" s="40"/>
      <x:c r="P20" s="40"/>
      <x:c r="Q20" s="40"/>
      <x:c r="R20" s="41"/>
    </x:row>
    <x:row r="21" ht="15" hidden="0" customHeight="1">
      <x:c r="A21" s="68"/>
      <x:c r="B21" s="68"/>
      <x:c r="C21" s="68" t="str">
        <x:v>Visitor contribution</x:v>
      </x:c>
      <x:c r="D21" s="101" t="n">
        <x:f>D14*'Assumptions'!$H$13</x:f>
        <x:v>6105645000</x:v>
      </x:c>
      <x:c r="E21" s="101" t="n">
        <x:f>E14*'Assumptions'!$H$13</x:f>
        <x:v>8658643500</x:v>
      </x:c>
      <x:c r="F21" s="101" t="n">
        <x:f>F14*'Assumptions'!$H$13</x:f>
        <x:v>11359326829.5</x:v>
      </x:c>
      <x:c r="G21" s="101" t="n">
        <x:f>G14*'Assumptions'!$H$13</x:f>
        <x:v>13945775355.720003</x:v>
      </x:c>
      <x:c r="H21" s="101" t="n">
        <x:f>H14*'Assumptions'!$H$13</x:f>
        <x:v>16090532814.786304</x:v>
      </x:c>
      <x:c r="I21" s="101" t="n">
        <x:f>I14*'Assumptions'!$H$13</x:f>
        <x:v>17781757243.465412</x:v>
      </x:c>
      <x:c r="J21" s="101" t="n">
        <x:f>J14*'Assumptions'!$H$13</x:f>
        <x:v>18315209960.769375</x:v>
      </x:c>
      <x:c r="K21" s="101" t="n">
        <x:f>K14*'Assumptions'!$H$13</x:f>
        <x:v>18864666259.59246</x:v>
      </x:c>
      <x:c r="L21" s="101" t="n">
        <x:f>L14*'Assumptions'!$H$13</x:f>
        <x:v>19430606247.38023</x:v>
      </x:c>
      <x:c r="M21" s="101" t="n">
        <x:f>M14*'Assumptions'!$H$13</x:f>
        <x:v>20013524434.80164</x:v>
      </x:c>
      <x:c r="N21" s="101" t="n">
        <x:f>N14*'Assumptions'!$H$13</x:f>
        <x:v>20613930167.845688</x:v>
      </x:c>
      <x:c r="O21" s="101" t="n">
        <x:f>O14*'Assumptions'!$H$13</x:f>
        <x:v>21232348072.88106</x:v>
      </x:c>
      <x:c r="P21" s="101" t="n">
        <x:f>P14*'Assumptions'!$H$13</x:f>
        <x:v>21869318515.06749</x:v>
      </x:c>
      <x:c r="Q21" s="101" t="n">
        <x:f>Q14*'Assumptions'!$H$13</x:f>
        <x:v>22525398070.519516</x:v>
      </x:c>
      <x:c r="R21" s="101" t="n">
        <x:f>R14*'Assumptions'!$H$13</x:f>
        <x:v>23201160012.635105</x:v>
      </x:c>
    </x:row>
    <x:row r="22" ht="15" hidden="0" customHeight="1">
      <x:c r="A22" s="68"/>
      <x:c r="B22" s="68"/>
      <x:c r="C22" s="68" t="str">
        <x:v>Avocado EBITDA</x:v>
      </x:c>
      <x:c r="D22" s="101" t="n">
        <x:f>('Avocado Reference'!D7-'Avocado Reference'!D8)*'Attractions'!$D$7</x:f>
        <x:v>-356995509.12</x:v>
      </x:c>
      <x:c r="E22" s="101" t="n">
        <x:f>('Avocado Reference'!E7-'Avocado Reference'!E8)*'Attractions'!$D$7</x:f>
        <x:v>-140670284.57600003</x:v>
      </x:c>
      <x:c r="F22" s="101" t="n">
        <x:f>('Avocado Reference'!F7-'Avocado Reference'!F8)*'Attractions'!$D$7</x:f>
        <x:v>361377518.6952001</x:v>
      </x:c>
      <x:c r="G22" s="101" t="n">
        <x:f>('Avocado Reference'!G7-'Avocado Reference'!G8)*'Attractions'!$D$7</x:f>
        <x:v>1102419384.69246</x:v>
      </x:c>
      <x:c r="H22" s="101" t="n">
        <x:f>('Avocado Reference'!H7-'Avocado Reference'!H8)*'Attractions'!$D$7</x:f>
        <x:v>1642712210.2755198</x:v>
      </x:c>
      <x:c r="I22" s="101" t="n">
        <x:f>('Avocado Reference'!I7-'Avocado Reference'!I8)*'Attractions'!$D$7</x:f>
        <x:v>1946857630.213806</x:v>
      </x:c>
      <x:c r="J22" s="101" t="n">
        <x:f>('Avocado Reference'!J7-'Avocado Reference'!J8)*'Attractions'!$D$7</x:f>
        <x:v>2233032169.091216</x:v>
      </x:c>
      <x:c r="K22" s="101" t="n">
        <x:f>('Avocado Reference'!K7-'Avocado Reference'!K8)*'Attractions'!$D$7</x:f>
        <x:v>2615476667.115082</x:v>
      </x:c>
      <x:c r="L22" s="101" t="n">
        <x:f>('Avocado Reference'!L7-'Avocado Reference'!L8)*'Attractions'!$D$7</x:f>
        <x:v>2995265699.5587015</x:v>
      </x:c>
      <x:c r="M22" s="101" t="n">
        <x:f>('Avocado Reference'!M7-'Avocado Reference'!M8)*'Attractions'!$D$7</x:f>
        <x:v>3392083419.1340604</x:v>
      </x:c>
      <x:c r="N22" s="101" t="n">
        <x:f>('Avocado Reference'!N7-'Avocado Reference'!N8)*'Attractions'!$D$7</x:f>
        <x:v>3806527587.473799</x:v>
      </x:c>
      <x:c r="O22" s="101" t="n">
        <x:f>('Avocado Reference'!O7-'Avocado Reference'!O8)*'Attractions'!$D$7</x:f>
        <x:v>4239214396.1337633</x:v>
      </x:c>
      <x:c r="P22" s="101" t="n">
        <x:f>('Avocado Reference'!P7-'Avocado Reference'!P8)*'Attractions'!$D$7</x:f>
        <x:v>4690778973.726768</x:v>
      </x:c>
      <x:c r="Q22" s="101" t="n">
        <x:f>('Avocado Reference'!Q7-'Avocado Reference'!Q8)*'Attractions'!$D$7</x:f>
        <x:v>5161875904.856186</x:v>
      </x:c>
      <x:c r="R22" s="101" t="n">
        <x:f>('Avocado Reference'!R7-'Avocado Reference'!R8)*'Attractions'!$D$7</x:f>
        <x:v>5653179761.0205555</x:v>
      </x:c>
    </x:row>
    <x:row r="23" ht="15" hidden="0" customHeight="1">
      <x:c r="A23" s="68"/>
      <x:c r="B23" s="68"/>
      <x:c r="C23" s="68" t="str">
        <x:v>Other product EBITDA</x:v>
      </x:c>
      <x:c r="D23" s="101" t="n">
        <x:f>'Attractions'!$K$14*'Assumptions'!$H$15*'Assumptions'!D62*(1+'Assumptions'!$D$37)^0</x:f>
        <x:v>1362000000</x:v>
      </x:c>
      <x:c r="E23" s="101" t="n">
        <x:f>'Attractions'!$K$14*'Assumptions'!$H$15*'Assumptions'!E62*(1+'Assumptions'!$D$37)^1</x:f>
        <x:v>1753575000</x:v>
      </x:c>
      <x:c r="F23" s="101" t="n">
        <x:f>'Attractions'!$K$14*'Assumptions'!$H$15*'Assumptions'!F62*(1+'Assumptions'!$D$37)^2</x:f>
        <x:v>2167418700</x:v>
      </x:c>
      <x:c r="G23" s="101" t="n">
        <x:f>'Attractions'!$K$14*'Assumptions'!$H$15*'Assumptions'!G62*(1+'Assumptions'!$D$37)^3</x:f>
        <x:v>2480490290</x:v>
      </x:c>
      <x:c r="H23" s="101" t="n">
        <x:f>'Attractions'!$K$14*'Assumptions'!$H$15*'Assumptions'!H62*(1+'Assumptions'!$D$37)^4</x:f>
        <x:v>2554904998.7000003</x:v>
      </x:c>
      <x:c r="I23" s="101" t="n">
        <x:f>'Attractions'!$K$14*'Assumptions'!$H$15*'Assumptions'!I62*(1+'Assumptions'!$D$37)^5</x:f>
        <x:v>2631552148.6610003</x:v>
      </x:c>
      <x:c r="J23" s="101" t="n">
        <x:f>'Attractions'!$K$14*'Assumptions'!$H$15*'Assumptions'!J62*(1+'Assumptions'!$D$37)^6</x:f>
        <x:v>2710498713.1208305</x:v>
      </x:c>
      <x:c r="K23" s="101" t="n">
        <x:f>'Attractions'!$K$14*'Assumptions'!$H$15*'Assumptions'!K62*(1+'Assumptions'!$D$37)^7</x:f>
        <x:v>2791813674.5144553</x:v>
      </x:c>
      <x:c r="L23" s="101" t="n">
        <x:f>'Attractions'!$K$14*'Assumptions'!$H$15*'Assumptions'!L62*(1+'Assumptions'!$D$37)^8</x:f>
        <x:v>2875568084.7498894</x:v>
      </x:c>
      <x:c r="M23" s="101" t="n">
        <x:f>'Attractions'!$K$14*'Assumptions'!$H$15*'Assumptions'!M62*(1+'Assumptions'!$D$37)^9</x:f>
        <x:v>2961835127.292386</x:v>
      </x:c>
      <x:c r="N23" s="101" t="n">
        <x:f>'Attractions'!$K$14*'Assumptions'!$H$15*'Assumptions'!N62*(1+'Assumptions'!$D$37)^10</x:f>
        <x:v>3050690181.1111574</x:v>
      </x:c>
      <x:c r="O23" s="101" t="n">
        <x:f>'Attractions'!$K$14*'Assumptions'!$H$15*'Assumptions'!O62*(1+'Assumptions'!$D$37)^11</x:f>
        <x:v>3142210886.5444922</x:v>
      </x:c>
      <x:c r="P23" s="101" t="n">
        <x:f>'Attractions'!$K$14*'Assumptions'!$H$15*'Assumptions'!P62*(1+'Assumptions'!$D$37)^12</x:f>
        <x:v>3236477213.140827</x:v>
      </x:c>
      <x:c r="Q23" s="101" t="n">
        <x:f>'Attractions'!$K$14*'Assumptions'!$H$15*'Assumptions'!Q62*(1+'Assumptions'!$D$37)^13</x:f>
        <x:v>3333571529.5350523</x:v>
      </x:c>
      <x:c r="R23" s="101" t="n">
        <x:f>'Attractions'!$K$14*'Assumptions'!$H$15*'Assumptions'!R62*(1+'Assumptions'!$D$37)^14</x:f>
        <x:v>3433578675.421104</x:v>
      </x:c>
    </x:row>
    <x:row r="24" ht="15" hidden="0" customHeight="1">
      <x:c r="A24" s="68"/>
      <x:c r="B24" s="68"/>
      <x:c r="C24" s="68" t="str">
        <x:v>Fixed operating cost</x:v>
      </x:c>
      <x:c r="D24" s="101" t="n">
        <x:f>'Attractions'!$J$14*(1+'Assumptions'!$D$39)^0</x:f>
        <x:v>4000000000</x:v>
      </x:c>
      <x:c r="E24" s="101" t="n">
        <x:f>'Attractions'!$J$14*(1+'Assumptions'!$D$39)^1</x:f>
        <x:v>4200000000</x:v>
      </x:c>
      <x:c r="F24" s="101" t="n">
        <x:f>'Attractions'!$J$14*(1+'Assumptions'!$D$39)^2</x:f>
        <x:v>4410000000</x:v>
      </x:c>
      <x:c r="G24" s="101" t="n">
        <x:f>'Attractions'!$J$14*(1+'Assumptions'!$D$39)^3</x:f>
        <x:v>4630500000.000001</x:v>
      </x:c>
      <x:c r="H24" s="101" t="n">
        <x:f>'Attractions'!$J$14*(1+'Assumptions'!$D$39)^4</x:f>
        <x:v>4862025000.000001</x:v>
      </x:c>
      <x:c r="I24" s="101" t="n">
        <x:f>'Attractions'!$J$14*(1+'Assumptions'!$D$39)^5</x:f>
        <x:v>5105126250.000001</x:v>
      </x:c>
      <x:c r="J24" s="101" t="n">
        <x:f>'Attractions'!$J$14*(1+'Assumptions'!$D$39)^6</x:f>
        <x:v>5360382562.500002</x:v>
      </x:c>
      <x:c r="K24" s="101" t="n">
        <x:f>'Attractions'!$J$14*(1+'Assumptions'!$D$39)^7</x:f>
        <x:v>5628401690.625002</x:v>
      </x:c>
      <x:c r="L24" s="101" t="n">
        <x:f>'Attractions'!$J$14*(1+'Assumptions'!$D$39)^8</x:f>
        <x:v>5909821775.156252</x:v>
      </x:c>
      <x:c r="M24" s="101" t="n">
        <x:f>'Attractions'!$J$14*(1+'Assumptions'!$D$39)^9</x:f>
        <x:v>6205312863.914065</x:v>
      </x:c>
      <x:c r="N24" s="101" t="n">
        <x:f>'Attractions'!$J$14*(1+'Assumptions'!$D$39)^10</x:f>
        <x:v>6515578507.109768</x:v>
      </x:c>
      <x:c r="O24" s="101" t="n">
        <x:f>'Attractions'!$J$14*(1+'Assumptions'!$D$39)^11</x:f>
        <x:v>6841357432.465257</x:v>
      </x:c>
      <x:c r="P24" s="101" t="n">
        <x:f>'Attractions'!$J$14*(1+'Assumptions'!$D$39)^12</x:f>
        <x:v>7183425304.08852</x:v>
      </x:c>
      <x:c r="Q24" s="101" t="n">
        <x:f>'Attractions'!$J$14*(1+'Assumptions'!$D$39)^13</x:f>
        <x:v>7542596569.292947</x:v>
      </x:c>
      <x:c r="R24" s="101" t="n">
        <x:f>'Attractions'!$J$14*(1+'Assumptions'!$D$39)^14</x:f>
        <x:v>7919726397.757595</x:v>
      </x:c>
    </x:row>
    <x:row r="25" ht="15" hidden="0" customHeight="1">
      <x:c r="A25" s="68"/>
      <x:c r="B25" s="68"/>
      <x:c r="C25" s="68" t="str">
        <x:v>Land lease to TL</x:v>
      </x:c>
      <x:c r="D25" s="101" t="n">
        <x:f>'Attractions'!$E$14*'Assumptions'!$D$41*(1+'Assumptions'!$D$42)^0</x:f>
        <x:v>1625000000</x:v>
      </x:c>
      <x:c r="E25" s="101" t="n">
        <x:f>'Attractions'!$E$14*'Assumptions'!$D$41*(1+'Assumptions'!$D$42)^1</x:f>
        <x:v>1673750000</x:v>
      </x:c>
      <x:c r="F25" s="101" t="n">
        <x:f>'Attractions'!$E$14*'Assumptions'!$D$41*(1+'Assumptions'!$D$42)^2</x:f>
        <x:v>1723962500</x:v>
      </x:c>
      <x:c r="G25" s="101" t="n">
        <x:f>'Attractions'!$E$14*'Assumptions'!$D$41*(1+'Assumptions'!$D$42)^3</x:f>
        <x:v>1775681375</x:v>
      </x:c>
      <x:c r="H25" s="101" t="n">
        <x:f>'Attractions'!$E$14*'Assumptions'!$D$41*(1+'Assumptions'!$D$42)^4</x:f>
        <x:v>1828951816.2500002</x:v>
      </x:c>
      <x:c r="I25" s="101" t="n">
        <x:f>'Attractions'!$E$14*'Assumptions'!$D$41*(1+'Assumptions'!$D$42)^5</x:f>
        <x:v>1883820370.7375002</x:v>
      </x:c>
      <x:c r="J25" s="101" t="n">
        <x:f>'Attractions'!$E$14*'Assumptions'!$D$41*(1+'Assumptions'!$D$42)^6</x:f>
        <x:v>1940334981.859625</x:v>
      </x:c>
      <x:c r="K25" s="101" t="n">
        <x:f>'Attractions'!$E$14*'Assumptions'!$D$41*(1+'Assumptions'!$D$42)^7</x:f>
        <x:v>1998545031.3154142</x:v>
      </x:c>
      <x:c r="L25" s="101" t="n">
        <x:f>'Attractions'!$E$14*'Assumptions'!$D$41*(1+'Assumptions'!$D$42)^8</x:f>
        <x:v>2058501382.2548766</x:v>
      </x:c>
      <x:c r="M25" s="101" t="n">
        <x:f>'Attractions'!$E$14*'Assumptions'!$D$41*(1+'Assumptions'!$D$42)^9</x:f>
        <x:v>2120256423.722523</x:v>
      </x:c>
      <x:c r="N25" s="101" t="n">
        <x:f>'Attractions'!$E$14*'Assumptions'!$D$41*(1+'Assumptions'!$D$42)^10</x:f>
        <x:v>2183864116.4341984</x:v>
      </x:c>
      <x:c r="O25" s="101" t="n">
        <x:f>'Attractions'!$E$14*'Assumptions'!$D$41*(1+'Assumptions'!$D$42)^11</x:f>
        <x:v>2249380039.9272246</x:v>
      </x:c>
      <x:c r="P25" s="101" t="n">
        <x:f>'Attractions'!$E$14*'Assumptions'!$D$41*(1+'Assumptions'!$D$42)^12</x:f>
        <x:v>2316861441.1250415</x:v>
      </x:c>
      <x:c r="Q25" s="101" t="n">
        <x:f>'Attractions'!$E$14*'Assumptions'!$D$41*(1+'Assumptions'!$D$42)^13</x:f>
        <x:v>2386367284.358793</x:v>
      </x:c>
      <x:c r="R25" s="101" t="n">
        <x:f>'Attractions'!$E$14*'Assumptions'!$D$41*(1+'Assumptions'!$D$42)^14</x:f>
        <x:v>2457958302.889557</x:v>
      </x:c>
    </x:row>
    <x:row r="26" ht="15" hidden="0" customHeight="1">
      <x:c r="A26" s="68"/>
      <x:c r="B26" s="68"/>
      <x:c r="C26" s="68" t="str">
        <x:v>TL visitor revenue share</x:v>
      </x:c>
      <x:c r="D26" s="101" t="n">
        <x:f>D14*'Assumptions'!$D$40</x:f>
        <x:v>271362000</x:v>
      </x:c>
      <x:c r="E26" s="101" t="n">
        <x:f>E14*'Assumptions'!$D$40</x:f>
        <x:v>384828600</x:v>
      </x:c>
      <x:c r="F26" s="101" t="n">
        <x:f>F14*'Assumptions'!$D$40</x:f>
        <x:v>504858970.2</x:v>
      </x:c>
      <x:c r="G26" s="101" t="n">
        <x:f>G14*'Assumptions'!$D$40</x:f>
        <x:v>619812238.0320002</x:v>
      </x:c>
      <x:c r="H26" s="101" t="n">
        <x:f>H14*'Assumptions'!$D$40</x:f>
        <x:v>715134791.7682801</x:v>
      </x:c>
      <x:c r="I26" s="101" t="n">
        <x:f>I14*'Assumptions'!$D$40</x:f>
        <x:v>790300321.9317961</x:v>
      </x:c>
      <x:c r="J26" s="101" t="n">
        <x:f>J14*'Assumptions'!$D$40</x:f>
        <x:v>814009331.5897499</x:v>
      </x:c>
      <x:c r="K26" s="101" t="n">
        <x:f>K14*'Assumptions'!$D$40</x:f>
        <x:v>838429611.5374427</x:v>
      </x:c>
      <x:c r="L26" s="101" t="n">
        <x:f>L14*'Assumptions'!$D$40</x:f>
        <x:v>863582499.8835659</x:v>
      </x:c>
      <x:c r="M26" s="101" t="n">
        <x:f>M14*'Assumptions'!$D$40</x:f>
        <x:v>889489974.8800728</x:v>
      </x:c>
      <x:c r="N26" s="101" t="n">
        <x:f>N14*'Assumptions'!$D$40</x:f>
        <x:v>916174674.1264751</x:v>
      </x:c>
      <x:c r="O26" s="101" t="n">
        <x:f>O14*'Assumptions'!$D$40</x:f>
        <x:v>943659914.3502693</x:v>
      </x:c>
      <x:c r="P26" s="101" t="n">
        <x:f>P14*'Assumptions'!$D$40</x:f>
        <x:v>971969711.7807773</x:v>
      </x:c>
      <x:c r="Q26" s="101" t="n">
        <x:f>Q14*'Assumptions'!$D$40</x:f>
        <x:v>1001128803.1342008</x:v>
      </x:c>
      <x:c r="R26" s="101" t="n">
        <x:f>R14*'Assumptions'!$D$40</x:f>
        <x:v>1031162667.2282269</x:v>
      </x:c>
    </x:row>
    <x:row r="27" ht="15" hidden="0" customHeight="1">
      <x:c r="A27" s="68"/>
      <x:c r="B27" s="68"/>
      <x:c r="C27" s="98" t="str">
        <x:v>EBITDA</x:v>
      </x:c>
      <x:c r="D27" s="99" t="n">
        <x:f>SUM(D21:D23)-SUM(D24:D26)</x:f>
        <x:v>1214287490.88</x:v>
      </x:c>
      <x:c r="E27" s="99" t="n">
        <x:f>SUM(E21:E23)-SUM(E24:E26)</x:f>
        <x:v>4012969615.424</x:v>
      </x:c>
      <x:c r="F27" s="99" t="n">
        <x:f>SUM(F21:F23)-SUM(F24:F26)</x:f>
        <x:v>7249301577.9952</x:v>
      </x:c>
      <x:c r="G27" s="99" t="n">
        <x:f>SUM(G21:G23)-SUM(G24:G26)</x:f>
        <x:v>10502691417.380463</x:v>
      </x:c>
      <x:c r="H27" s="99" t="n">
        <x:f>SUM(H21:H23)-SUM(H24:H26)</x:f>
        <x:v>12882038415.743546</x:v>
      </x:c>
      <x:c r="I27" s="99" t="n">
        <x:f>SUM(I21:I23)-SUM(I24:I26)</x:f>
        <x:v>14580920079.670921</x:v>
      </x:c>
      <x:c r="J27" s="99" t="n">
        <x:f>SUM(J21:J23)-SUM(J24:J26)</x:f>
        <x:v>15144013967.032045</x:v>
      </x:c>
      <x:c r="K27" s="99" t="n">
        <x:f>SUM(K21:K23)-SUM(K24:K26)</x:f>
        <x:v>15806580267.744137</x:v>
      </x:c>
      <x:c r="L27" s="99" t="n">
        <x:f>SUM(L21:L23)-SUM(L24:L26)</x:f>
        <x:v>16469534374.394125</x:v>
      </x:c>
      <x:c r="M27" s="99" t="n">
        <x:f>SUM(M21:M23)-SUM(M24:M26)</x:f>
        <x:v>17152383718.711424</x:v>
      </x:c>
      <x:c r="N27" s="99" t="n">
        <x:f>SUM(N21:N23)-SUM(N24:N26)</x:f>
        <x:v>17855530638.760204</x:v>
      </x:c>
      <x:c r="O27" s="99" t="n">
        <x:f>SUM(O21:O23)-SUM(O24:O26)</x:f>
        <x:v>18579375968.816566</x:v>
      </x:c>
      <x:c r="P27" s="99" t="n">
        <x:f>SUM(P21:P23)-SUM(P24:P26)</x:f>
        <x:v>19324318244.940746</x:v>
      </x:c>
      <x:c r="Q27" s="99" t="n">
        <x:f>SUM(Q21:Q23)-SUM(Q24:Q26)</x:f>
        <x:v>20090752848.124817</x:v>
      </x:c>
      <x:c r="R27" s="99" t="n">
        <x:f>SUM(R21:R23)-SUM(R24:R26)</x:f>
        <x:v>20879071081.201385</x:v>
      </x:c>
    </x:row>
    <x:row r="28" ht="15" hidden="0" customHeight="1">
      <x:c r="A28" s="68"/>
      <x:c r="B28" s="68"/>
      <x:c r="C28" s="68"/>
      <x:c r="D28" s="101"/>
      <x:c r="E28" s="101"/>
      <x:c r="F28" s="101"/>
      <x:c r="G28" s="101"/>
      <x:c r="H28" s="101"/>
      <x:c r="I28" s="101"/>
      <x:c r="J28" s="101"/>
      <x:c r="K28" s="101"/>
      <x:c r="L28" s="101"/>
      <x:c r="M28" s="101"/>
      <x:c r="N28" s="101"/>
      <x:c r="O28" s="101"/>
      <x:c r="P28" s="101"/>
      <x:c r="Q28" s="101"/>
      <x:c r="R28" s="101"/>
    </x:row>
    <x:row r="29" ht="15" hidden="0" customHeight="1">
      <x:c r="A29" s="68"/>
      <x:c r="B29" s="68"/>
      <x:c r="C29" s="68" t="str">
        <x:v>Depreciation</x:v>
      </x:c>
      <x:c r="D29" s="101" t="n">
        <x:f>('Attractions'!$F$14+'Assumptions'!$D$55)*'Assumptions'!$H$14*'Assumptions'!$D$49/'Assumptions'!$D$50</x:f>
        <x:v>1740000000</x:v>
      </x:c>
      <x:c r="E29" s="101" t="n">
        <x:f>('Attractions'!$F$14+'Assumptions'!$D$55)*'Assumptions'!$H$14*'Assumptions'!$D$49/'Assumptions'!$D$50</x:f>
        <x:v>1740000000</x:v>
      </x:c>
      <x:c r="F29" s="101" t="n">
        <x:f>('Attractions'!$F$14+'Assumptions'!$D$55)*'Assumptions'!$H$14*'Assumptions'!$D$49/'Assumptions'!$D$50</x:f>
        <x:v>1740000000</x:v>
      </x:c>
      <x:c r="G29" s="101" t="n">
        <x:f>('Attractions'!$F$14+'Assumptions'!$D$55)*'Assumptions'!$H$14*'Assumptions'!$D$49/'Assumptions'!$D$50</x:f>
        <x:v>1740000000</x:v>
      </x:c>
      <x:c r="H29" s="101" t="n">
        <x:f>('Attractions'!$F$14+'Assumptions'!$D$55)*'Assumptions'!$H$14*'Assumptions'!$D$49/'Assumptions'!$D$50</x:f>
        <x:v>1740000000</x:v>
      </x:c>
      <x:c r="I29" s="101" t="n">
        <x:f>('Attractions'!$F$14+'Assumptions'!$D$55)*'Assumptions'!$H$14*'Assumptions'!$D$49/'Assumptions'!$D$50</x:f>
        <x:v>1740000000</x:v>
      </x:c>
      <x:c r="J29" s="101" t="n">
        <x:f>('Attractions'!$F$14+'Assumptions'!$D$55)*'Assumptions'!$H$14*'Assumptions'!$D$49/'Assumptions'!$D$50</x:f>
        <x:v>1740000000</x:v>
      </x:c>
      <x:c r="K29" s="101" t="n">
        <x:f>('Attractions'!$F$14+'Assumptions'!$D$55)*'Assumptions'!$H$14*'Assumptions'!$D$49/'Assumptions'!$D$50</x:f>
        <x:v>1740000000</x:v>
      </x:c>
      <x:c r="L29" s="101" t="n">
        <x:f>('Attractions'!$F$14+'Assumptions'!$D$55)*'Assumptions'!$H$14*'Assumptions'!$D$49/'Assumptions'!$D$50</x:f>
        <x:v>1740000000</x:v>
      </x:c>
      <x:c r="M29" s="101" t="n">
        <x:f>('Attractions'!$F$14+'Assumptions'!$D$55)*'Assumptions'!$H$14*'Assumptions'!$D$49/'Assumptions'!$D$50</x:f>
        <x:v>1740000000</x:v>
      </x:c>
      <x:c r="N29" s="101" t="n">
        <x:f>('Attractions'!$F$14+'Assumptions'!$D$55)*'Assumptions'!$H$14*'Assumptions'!$D$49/'Assumptions'!$D$50</x:f>
        <x:v>1740000000</x:v>
      </x:c>
      <x:c r="O29" s="101" t="n">
        <x:f>('Attractions'!$F$14+'Assumptions'!$D$55)*'Assumptions'!$H$14*'Assumptions'!$D$49/'Assumptions'!$D$50</x:f>
        <x:v>1740000000</x:v>
      </x:c>
      <x:c r="P29" s="101" t="n">
        <x:f>('Attractions'!$F$14+'Assumptions'!$D$55)*'Assumptions'!$H$14*'Assumptions'!$D$49/'Assumptions'!$D$50</x:f>
        <x:v>1740000000</x:v>
      </x:c>
      <x:c r="Q29" s="101" t="n">
        <x:f>('Attractions'!$F$14+'Assumptions'!$D$55)*'Assumptions'!$H$14*'Assumptions'!$D$49/'Assumptions'!$D$50</x:f>
        <x:v>1740000000</x:v>
      </x:c>
      <x:c r="R29" s="101" t="n">
        <x:f>('Attractions'!$F$14+'Assumptions'!$D$55)*'Assumptions'!$H$14*'Assumptions'!$D$49/'Assumptions'!$D$50</x:f>
        <x:v>1740000000</x:v>
      </x:c>
    </x:row>
    <x:row r="30" ht="15" hidden="0" customHeight="1">
      <x:c r="A30" s="68"/>
      <x:c r="B30" s="68"/>
      <x:c r="C30" s="68" t="str">
        <x:v>EBIT</x:v>
      </x:c>
      <x:c r="D30" s="101" t="n">
        <x:f>D27-D29</x:f>
        <x:v>-525712509.1199999</x:v>
      </x:c>
      <x:c r="E30" s="101" t="n">
        <x:f>E27-E29</x:f>
        <x:v>2272969615.424</x:v>
      </x:c>
      <x:c r="F30" s="101" t="n">
        <x:f>F27-F29</x:f>
        <x:v>5509301577.9952</x:v>
      </x:c>
      <x:c r="G30" s="101" t="n">
        <x:f>G27-G29</x:f>
        <x:v>8762691417.380463</x:v>
      </x:c>
      <x:c r="H30" s="101" t="n">
        <x:f>H27-H29</x:f>
        <x:v>11142038415.743546</x:v>
      </x:c>
      <x:c r="I30" s="101" t="n">
        <x:f>I27-I29</x:f>
        <x:v>12840920079.670921</x:v>
      </x:c>
      <x:c r="J30" s="101" t="n">
        <x:f>J27-J29</x:f>
        <x:v>13404013967.032045</x:v>
      </x:c>
      <x:c r="K30" s="101" t="n">
        <x:f>K27-K29</x:f>
        <x:v>14066580267.744137</x:v>
      </x:c>
      <x:c r="L30" s="101" t="n">
        <x:f>L27-L29</x:f>
        <x:v>14729534374.394125</x:v>
      </x:c>
      <x:c r="M30" s="101" t="n">
        <x:f>M27-M29</x:f>
        <x:v>15412383718.711424</x:v>
      </x:c>
      <x:c r="N30" s="101" t="n">
        <x:f>N27-N29</x:f>
        <x:v>16115530638.760204</x:v>
      </x:c>
      <x:c r="O30" s="101" t="n">
        <x:f>O27-O29</x:f>
        <x:v>16839375968.816566</x:v>
      </x:c>
      <x:c r="P30" s="101" t="n">
        <x:f>P27-P29</x:f>
        <x:v>17584318244.940746</x:v>
      </x:c>
      <x:c r="Q30" s="101" t="n">
        <x:f>Q27-Q29</x:f>
        <x:v>18350752848.124817</x:v>
      </x:c>
      <x:c r="R30" s="101" t="n">
        <x:f>R27-R29</x:f>
        <x:v>19139071081.201385</x:v>
      </x:c>
    </x:row>
    <x:row r="31" ht="15" hidden="0" customHeight="1">
      <x:c r="A31" s="68"/>
      <x:c r="B31" s="68"/>
      <x:c r="C31" s="68" t="str">
        <x:v>Cash tax after interest shield</x:v>
      </x:c>
      <x:c r="D31" s="101" t="n">
        <x:f>MAX(0,(D30-'Debt &amp; Returns'!E16)*'Assumptions'!$D$48)</x:f>
        <x:v>0</x:v>
      </x:c>
      <x:c r="E31" s="101" t="n">
        <x:f>MAX(0,(E30-'Debt &amp; Returns'!F16)*'Assumptions'!$D$48)</x:f>
        <x:v>98113315.39327995</x:v>
      </x:c>
      <x:c r="F31" s="101" t="n">
        <x:f>MAX(0,(F30-'Debt &amp; Returns'!G16)*'Assumptions'!$D$48)</x:f>
        <x:v>810106347.158944</x:v>
      </x:c>
      <x:c r="G31" s="101" t="n">
        <x:f>MAX(0,(G30-'Debt &amp; Returns'!H16)*'Assumptions'!$D$48)</x:f>
        <x:v>1576094611.8237019</x:v>
      </x:c>
      <x:c r="H31" s="101" t="n">
        <x:f>MAX(0,(H30-'Debt &amp; Returns'!I16)*'Assumptions'!$D$48)</x:f>
        <x:v>2149793451.46358</x:v>
      </x:c>
      <x:c r="I31" s="101" t="n">
        <x:f>MAX(0,(I30-'Debt &amp; Returns'!J16)*'Assumptions'!$D$48)</x:f>
        <x:v>2573789917.5276027</x:v>
      </x:c>
      <x:c r="J31" s="101" t="n">
        <x:f>MAX(0,(J30-'Debt &amp; Returns'!K16)*'Assumptions'!$D$48)</x:f>
        <x:v>2747913072.74705</x:v>
      </x:c>
      <x:c r="K31" s="101" t="n">
        <x:f>MAX(0,(K30-'Debt &amp; Returns'!L16)*'Assumptions'!$D$48)</x:f>
        <x:v>2943920158.90371</x:v>
      </x:c>
      <x:c r="L31" s="101" t="n">
        <x:f>MAX(0,(L30-'Debt &amp; Returns'!M16)*'Assumptions'!$D$48)</x:f>
        <x:v>3140012562.3667073</x:v>
      </x:c>
      <x:c r="M31" s="101" t="n">
        <x:f>MAX(0,(M30-'Debt &amp; Returns'!N16)*'Assumptions'!$D$48)</x:f>
        <x:v>3340481918.1165133</x:v>
      </x:c>
      <x:c r="N31" s="101" t="n">
        <x:f>MAX(0,(N30-'Debt &amp; Returns'!O16)*'Assumptions'!$D$48)</x:f>
        <x:v>3545416740.527245</x:v>
      </x:c>
      <x:c r="O31" s="101" t="n">
        <x:f>MAX(0,(O30-'Debt &amp; Returns'!P16)*'Assumptions'!$D$48)</x:f>
        <x:v>3704662713.1396446</x:v>
      </x:c>
      <x:c r="P31" s="101" t="n">
        <x:f>MAX(0,(P30-'Debt &amp; Returns'!Q16)*'Assumptions'!$D$48)</x:f>
        <x:v>3868550013.8869643</x:v>
      </x:c>
      <x:c r="Q31" s="101" t="n">
        <x:f>MAX(0,(Q30-'Debt &amp; Returns'!R16)*'Assumptions'!$D$48)</x:f>
        <x:v>4037165626.5874596</x:v>
      </x:c>
      <x:c r="R31" s="101" t="n">
        <x:f>MAX(0,(R30-'Debt &amp; Returns'!S16)*'Assumptions'!$D$48)</x:f>
        <x:v>4210595637.864305</x:v>
      </x:c>
    </x:row>
    <x:row r="32" ht="15" hidden="0" customHeight="1">
      <x:c r="A32" s="68"/>
      <x:c r="B32" s="68"/>
      <x:c r="C32" s="68" t="str">
        <x:v>Maintenance CAPEX</x:v>
      </x:c>
      <x:c r="D32" s="101" t="n">
        <x:f>0</x:f>
        <x:v>0</x:v>
      </x:c>
      <x:c r="E32" s="101" t="n">
        <x:f>('Attractions'!$F$14+'Assumptions'!$D$55)*'Assumptions'!$H$14*'Assumptions'!$D$51</x:f>
        <x:v>580000000</x:v>
      </x:c>
      <x:c r="F32" s="101" t="n">
        <x:f>('Attractions'!$F$14+'Assumptions'!$D$55)*'Assumptions'!$H$14*'Assumptions'!$D$51</x:f>
        <x:v>580000000</x:v>
      </x:c>
      <x:c r="G32" s="101" t="n">
        <x:f>('Attractions'!$F$14+'Assumptions'!$D$55)*'Assumptions'!$H$14*'Assumptions'!$D$51</x:f>
        <x:v>580000000</x:v>
      </x:c>
      <x:c r="H32" s="101" t="n">
        <x:f>('Attractions'!$F$14+'Assumptions'!$D$55)*'Assumptions'!$H$14*'Assumptions'!$D$51</x:f>
        <x:v>580000000</x:v>
      </x:c>
      <x:c r="I32" s="101" t="n">
        <x:f>('Attractions'!$F$14+'Assumptions'!$D$55)*'Assumptions'!$H$14*'Assumptions'!$D$51</x:f>
        <x:v>580000000</x:v>
      </x:c>
      <x:c r="J32" s="101" t="n">
        <x:f>('Attractions'!$F$14+'Assumptions'!$D$55)*'Assumptions'!$H$14*'Assumptions'!$D$51</x:f>
        <x:v>580000000</x:v>
      </x:c>
      <x:c r="K32" s="101" t="n">
        <x:f>('Attractions'!$F$14+'Assumptions'!$D$55)*'Assumptions'!$H$14*'Assumptions'!$D$51</x:f>
        <x:v>580000000</x:v>
      </x:c>
      <x:c r="L32" s="101" t="n">
        <x:f>('Attractions'!$F$14+'Assumptions'!$D$55)*'Assumptions'!$H$14*'Assumptions'!$D$51</x:f>
        <x:v>580000000</x:v>
      </x:c>
      <x:c r="M32" s="101" t="n">
        <x:f>('Attractions'!$F$14+'Assumptions'!$D$55)*'Assumptions'!$H$14*'Assumptions'!$D$51</x:f>
        <x:v>580000000</x:v>
      </x:c>
      <x:c r="N32" s="101" t="n">
        <x:f>('Attractions'!$F$14+'Assumptions'!$D$55)*'Assumptions'!$H$14*'Assumptions'!$D$51</x:f>
        <x:v>580000000</x:v>
      </x:c>
      <x:c r="O32" s="101" t="n">
        <x:f>('Attractions'!$F$14+'Assumptions'!$D$55)*'Assumptions'!$H$14*'Assumptions'!$D$51</x:f>
        <x:v>580000000</x:v>
      </x:c>
      <x:c r="P32" s="101" t="n">
        <x:f>('Attractions'!$F$14+'Assumptions'!$D$55)*'Assumptions'!$H$14*'Assumptions'!$D$51</x:f>
        <x:v>580000000</x:v>
      </x:c>
      <x:c r="Q32" s="101" t="n">
        <x:f>('Attractions'!$F$14+'Assumptions'!$D$55)*'Assumptions'!$H$14*'Assumptions'!$D$51</x:f>
        <x:v>580000000</x:v>
      </x:c>
      <x:c r="R32" s="101" t="n">
        <x:f>('Attractions'!$F$14+'Assumptions'!$D$55)*'Assumptions'!$H$14*'Assumptions'!$D$51</x:f>
        <x:v>580000000</x:v>
      </x:c>
    </x:row>
    <x:row r="33" ht="15" hidden="0" customHeight="1">
      <x:c r="A33" s="68"/>
      <x:c r="B33" s="68"/>
      <x:c r="C33" s="68" t="str">
        <x:v>Net working capital</x:v>
      </x:c>
      <x:c r="D33" s="101" t="n">
        <x:f>D19*'Assumptions'!$D$52</x:f>
        <x:v>589383000</x:v>
      </x:c>
      <x:c r="E33" s="101" t="n">
        <x:f>E19*'Assumptions'!$D$52</x:f>
        <x:v>820104900</x:v>
      </x:c>
      <x:c r="F33" s="101" t="n">
        <x:f>F19*'Assumptions'!$D$52</x:f>
        <x:v>1073760004.8</x:v>
      </x:c>
      <x:c r="G33" s="101" t="n">
        <x:f>G19*'Assumptions'!$D$52</x:f>
        <x:v>1314702244.923</x:v>
      </x:c>
      <x:c r="H33" s="101" t="n">
        <x:f>H19*'Assumptions'!$D$52</x:f>
        <x:v>1487383051.4467952</x:v>
      </x:c>
      <x:c r="I33" s="101" t="n">
        <x:f>I19*'Assumptions'!$D$52</x:f>
        <x:v>1621906108.9172006</x:v>
      </x:c>
      <x:c r="J33" s="101" t="n">
        <x:f>J19*'Assumptions'!$D$52</x:f>
        <x:v>1678835014.9137795</x:v>
      </x:c>
      <x:c r="K33" s="101" t="n">
        <x:f>K19*'Assumptions'!$D$52</x:f>
        <x:v>1740575948.757306</x:v>
      </x:c>
      <x:c r="L33" s="101" t="n">
        <x:f>L19*'Assumptions'!$D$52</x:f>
        <x:v>1803664355.6330433</x:v>
      </x:c>
      <x:c r="M33" s="101" t="n">
        <x:f>M19*'Assumptions'!$D$52</x:f>
        <x:v>1868860080.289558</x:v>
      </x:c>
      <x:c r="N33" s="101" t="n">
        <x:f>N19*'Assumptions'!$D$52</x:f>
        <x:v>1936230281.0837402</x:v>
      </x:c>
      <x:c r="O33" s="101" t="n">
        <x:f>O19*'Assumptions'!$D$52</x:f>
        <x:v>2005844193.8983753</x:v>
      </x:c>
      <x:c r="P33" s="101" t="n">
        <x:f>P19*'Assumptions'!$D$52</x:f>
        <x:v>2077773195.1449177</x:v>
      </x:c>
      <x:c r="Q33" s="101" t="n">
        <x:f>Q19*'Assumptions'!$D$52</x:f>
        <x:v>2152090866.6509604</x:v>
      </x:c>
      <x:c r="R33" s="101" t="n">
        <x:f>R19*'Assumptions'!$D$52</x:f>
        <x:v>2228873062.4882493</x:v>
      </x:c>
    </x:row>
    <x:row r="34" ht="15" hidden="0" customHeight="1">
      <x:c r="A34" s="68"/>
      <x:c r="B34" s="68"/>
      <x:c r="C34" s="68" t="str">
        <x:v>Change in NWC</x:v>
      </x:c>
      <x:c r="D34" s="101" t="n">
        <x:f>D33</x:f>
        <x:v>589383000</x:v>
      </x:c>
      <x:c r="E34" s="101" t="n">
        <x:f>E33-D33</x:f>
        <x:v>230721900</x:v>
      </x:c>
      <x:c r="F34" s="101" t="n">
        <x:f>F33-E33</x:f>
        <x:v>253655104.79999995</x:v>
      </x:c>
      <x:c r="G34" s="101" t="n">
        <x:f>G33-F33</x:f>
        <x:v>240942240.12300014</x:v>
      </x:c>
      <x:c r="H34" s="101" t="n">
        <x:f>H33-G33</x:f>
        <x:v>172680806.52379513</x:v>
      </x:c>
      <x:c r="I34" s="101" t="n">
        <x:f>I33-H33</x:f>
        <x:v>134523057.47040534</x:v>
      </x:c>
      <x:c r="J34" s="101" t="n">
        <x:f>J33-I33</x:f>
        <x:v>56928905.99657893</x:v>
      </x:c>
      <x:c r="K34" s="101" t="n">
        <x:f>K33-J33</x:f>
        <x:v>61740933.8435266</x:v>
      </x:c>
      <x:c r="L34" s="101" t="n">
        <x:f>L33-K33</x:f>
        <x:v>63088406.87573719</x:v>
      </x:c>
      <x:c r="M34" s="101" t="n">
        <x:f>M33-L33</x:f>
        <x:v>65195724.656514645</x:v>
      </x:c>
      <x:c r="N34" s="101" t="n">
        <x:f>N33-M33</x:f>
        <x:v>67370200.7941823</x:v>
      </x:c>
      <x:c r="O34" s="101" t="n">
        <x:f>O33-N33</x:f>
        <x:v>69613912.81463504</x:v>
      </x:c>
      <x:c r="P34" s="101" t="n">
        <x:f>P33-O33</x:f>
        <x:v>71929001.24654245</x:v>
      </x:c>
      <x:c r="Q34" s="101" t="n">
        <x:f>Q33-P33</x:f>
        <x:v>74317671.50604272</x:v>
      </x:c>
      <x:c r="R34" s="101" t="n">
        <x:f>R33-Q33</x:f>
        <x:v>76782195.83728886</x:v>
      </x:c>
    </x:row>
    <x:row r="35" ht="15" hidden="0" customHeight="1">
      <x:c r="A35" s="68"/>
      <x:c r="B35" s="68"/>
      <x:c r="C35" s="104" t="str">
        <x:v>CFADS</x:v>
      </x:c>
      <x:c r="D35" s="105" t="n">
        <x:f>D27-D31-D32-D34</x:f>
        <x:v>624904490.8800001</x:v>
      </x:c>
      <x:c r="E35" s="105" t="n">
        <x:f>E27-E31-E32-E34</x:f>
        <x:v>3104134400.0307198</x:v>
      </x:c>
      <x:c r="F35" s="105" t="n">
        <x:f>F27-F31-F32-F34</x:f>
        <x:v>5605540126.036256</x:v>
      </x:c>
      <x:c r="G35" s="105" t="n">
        <x:f>G27-G31-G32-G34</x:f>
        <x:v>8105654565.433761</x:v>
      </x:c>
      <x:c r="H35" s="105" t="n">
        <x:f>H27-H31-H32-H34</x:f>
        <x:v>9979564157.756168</x:v>
      </x:c>
      <x:c r="I35" s="105" t="n">
        <x:f>I27-I31-I32-I34</x:f>
        <x:v>11292607104.672913</x:v>
      </x:c>
      <x:c r="J35" s="105" t="n">
        <x:f>J27-J31-J32-J34</x:f>
        <x:v>11759171988.288418</x:v>
      </x:c>
      <x:c r="K35" s="105" t="n">
        <x:f>K27-K31-K32-K34</x:f>
        <x:v>12220919174.9969</x:v>
      </x:c>
      <x:c r="L35" s="105" t="n">
        <x:f>L27-L31-L32-L34</x:f>
        <x:v>12686433405.15168</x:v>
      </x:c>
      <x:c r="M35" s="105" t="n">
        <x:f>M27-M31-M32-M34</x:f>
        <x:v>13166706075.938395</x:v>
      </x:c>
      <x:c r="N35" s="105" t="n">
        <x:f>N27-N31-N32-N34</x:f>
        <x:v>13662743697.438778</x:v>
      </x:c>
      <x:c r="O35" s="105" t="n">
        <x:f>O27-O31-O32-O34</x:f>
        <x:v>14225099342.862288</x:v>
      </x:c>
      <x:c r="P35" s="105" t="n">
        <x:f>P27-P31-P32-P34</x:f>
        <x:v>14803839229.80724</x:v>
      </x:c>
      <x:c r="Q35" s="105" t="n">
        <x:f>Q27-Q31-Q32-Q34</x:f>
        <x:v>15399269550.031315</x:v>
      </x:c>
      <x:c r="R35" s="105" t="n">
        <x:f>R27-R31-R32-R34</x:f>
        <x:v>16011693247.49979</x:v>
      </x:c>
    </x:row>
    <x:row r="36" ht="15" hidden="0" customHeight="1">
      <x:c r="A36" s="68"/>
      <x:c r="B36" s="68"/>
      <x:c r="C36" s="106" t="str">
        <x:v>Unlevered FCF</x:v>
      </x:c>
      <x:c r="D36" s="107" t="n">
        <x:f>D27-MAX(0,D30)*'Assumptions'!$D$48-D32-D34</x:f>
        <x:v>624904490.8800001</x:v>
      </x:c>
      <x:c r="E36" s="107" t="n">
        <x:f>E27-MAX(0,E30)*'Assumptions'!$D$48-E32-E34</x:f>
        <x:v>2702194400.0307198</x:v>
      </x:c>
      <x:c r="F36" s="107" t="n">
        <x:f>F27-MAX(0,F30)*'Assumptions'!$D$48-F32-F34</x:f>
        <x:v>5203600126.036256</x:v>
      </x:c>
      <x:c r="G36" s="107" t="n">
        <x:f>G27-MAX(0,G30)*'Assumptions'!$D$48-G32-G34</x:f>
        <x:v>7753957065.433761</x:v>
      </x:c>
      <x:c r="H36" s="107" t="n">
        <x:f>H27-MAX(0,H30)*'Assumptions'!$D$48-H32-H34</x:f>
        <x:v>9678109157.756168</x:v>
      </x:c>
      <x:c r="I36" s="107" t="n">
        <x:f>I27-MAX(0,I30)*'Assumptions'!$D$48-I32-I34</x:f>
        <x:v>11041394604.672913</x:v>
      </x:c>
      <x:c r="J36" s="107" t="n">
        <x:f>J27-MAX(0,J30)*'Assumptions'!$D$48-J32-J34</x:f>
        <x:v>11558201988.288418</x:v>
      </x:c>
      <x:c r="K36" s="107" t="n">
        <x:f>K27-MAX(0,K30)*'Assumptions'!$D$48-K32-K34</x:f>
        <x:v>12070191674.9969</x:v>
      </x:c>
      <x:c r="L36" s="107" t="n">
        <x:f>L27-MAX(0,L30)*'Assumptions'!$D$48-L32-L34</x:f>
        <x:v>12585948405.15168</x:v>
      </x:c>
      <x:c r="M36" s="107" t="n">
        <x:f>M27-MAX(0,M30)*'Assumptions'!$D$48-M32-M34</x:f>
        <x:v>13116463575.938395</x:v>
      </x:c>
      <x:c r="N36" s="107" t="n">
        <x:f>N27-MAX(0,N30)*'Assumptions'!$D$48-N32-N34</x:f>
        <x:v>13662743697.438778</x:v>
      </x:c>
      <x:c r="O36" s="107" t="n">
        <x:f>O27-MAX(0,O30)*'Assumptions'!$D$48-O32-O34</x:f>
        <x:v>14225099342.862288</x:v>
      </x:c>
      <x:c r="P36" s="107" t="n">
        <x:f>P27-MAX(0,P30)*'Assumptions'!$D$48-P32-P34</x:f>
        <x:v>14803839229.80724</x:v>
      </x:c>
      <x:c r="Q36" s="107" t="n">
        <x:f>Q27-MAX(0,Q30)*'Assumptions'!$D$48-Q32-Q34</x:f>
        <x:v>15399269550.031315</x:v>
      </x:c>
      <x:c r="R36" s="107" t="n">
        <x:f>R27-MAX(0,R30)*'Assumptions'!$D$48-R32-R34</x:f>
        <x:v>16011693247.49979</x:v>
      </x:c>
    </x:row>
    <x:row r="37" ht="15" hidden="0" customHeight="1">
      <x:c r="A37" s="68"/>
      <x:c r="B37" s="68"/>
      <x:c r="C37" s="108" t="str">
        <x:v>Terminal value</x:v>
      </x:c>
      <x:c r="D37" s="109" t="n">
        <x:f>0</x:f>
        <x:v>0</x:v>
      </x:c>
      <x:c r="E37" s="109" t="n">
        <x:f>0</x:f>
        <x:v>0</x:v>
      </x:c>
      <x:c r="F37" s="109" t="n">
        <x:f>0</x:f>
        <x:v>0</x:v>
      </x:c>
      <x:c r="G37" s="109" t="n">
        <x:f>0</x:f>
        <x:v>0</x:v>
      </x:c>
      <x:c r="H37" s="109" t="n">
        <x:f>0</x:f>
        <x:v>0</x:v>
      </x:c>
      <x:c r="I37" s="109" t="n">
        <x:f>0</x:f>
        <x:v>0</x:v>
      </x:c>
      <x:c r="J37" s="109" t="n">
        <x:f>0</x:f>
        <x:v>0</x:v>
      </x:c>
      <x:c r="K37" s="109" t="n">
        <x:f>0</x:f>
        <x:v>0</x:v>
      </x:c>
      <x:c r="L37" s="109" t="n">
        <x:f>0</x:f>
        <x:v>0</x:v>
      </x:c>
      <x:c r="M37" s="109" t="n">
        <x:f>0</x:f>
        <x:v>0</x:v>
      </x:c>
      <x:c r="N37" s="109" t="n">
        <x:f>0</x:f>
        <x:v>0</x:v>
      </x:c>
      <x:c r="O37" s="109" t="n">
        <x:f>0</x:f>
        <x:v>0</x:v>
      </x:c>
      <x:c r="P37" s="109" t="n">
        <x:f>0</x:f>
        <x:v>0</x:v>
      </x:c>
      <x:c r="Q37" s="109" t="n">
        <x:f>0</x:f>
        <x:v>0</x:v>
      </x:c>
      <x:c r="R37" s="109" t="n">
        <x:f>R27*'Assumptions'!$H$16</x:f>
        <x:v>83516284324.80554</x:v>
      </x:c>
    </x:row>
    <x:row r="38" ht="15" hidden="0" customHeight="1">
      <x:c r="A38" s="68"/>
      <x:c r="B38" s="68"/>
      <x:c r="C38" s="68"/>
      <x:c r="D38" s="68"/>
      <x:c r="E38" s="68"/>
      <x:c r="F38" s="68"/>
      <x:c r="G38" s="68"/>
      <x:c r="H38" s="68"/>
      <x:c r="I38" s="68"/>
      <x:c r="J38" s="68"/>
      <x:c r="K38" s="68"/>
      <x:c r="L38" s="68"/>
      <x:c r="M38" s="68"/>
      <x:c r="N38" s="68"/>
      <x:c r="O38" s="68"/>
      <x:c r="P38" s="68"/>
      <x:c r="Q38" s="68"/>
      <x:c r="R38" s="68"/>
    </x:row>
    <x:row r="39" ht="15" hidden="0" customHeight="1">
      <x:c r="A39" s="68"/>
      <x:c r="B39" s="68"/>
      <x:c r="C39" s="68"/>
      <x:c r="D39" s="68"/>
      <x:c r="E39" s="68"/>
      <x:c r="F39" s="68"/>
      <x:c r="G39" s="68"/>
      <x:c r="H39" s="68"/>
      <x:c r="I39" s="68"/>
      <x:c r="J39" s="68"/>
      <x:c r="K39" s="68"/>
      <x:c r="L39" s="68"/>
      <x:c r="M39" s="68"/>
      <x:c r="N39" s="68"/>
      <x:c r="O39" s="68"/>
      <x:c r="P39" s="68"/>
      <x:c r="Q39" s="68"/>
      <x:c r="R39" s="68"/>
    </x:row>
    <x:row r="40" ht="15" hidden="0" customHeight="1">
      <x:c r="A40" s="68"/>
      <x:c r="B40" s="68"/>
      <x:c r="C40" s="68"/>
      <x:c r="D40" s="68"/>
      <x:c r="E40" s="68"/>
      <x:c r="F40" s="68"/>
      <x:c r="G40" s="68"/>
      <x:c r="H40" s="68"/>
      <x:c r="I40" s="68"/>
      <x:c r="J40" s="68"/>
      <x:c r="K40" s="68"/>
      <x:c r="L40" s="68"/>
      <x:c r="M40" s="68"/>
      <x:c r="N40" s="68"/>
      <x:c r="O40" s="68"/>
      <x:c r="P40" s="68"/>
      <x:c r="Q40" s="68"/>
      <x:c r="R40" s="68"/>
    </x:row>
    <x:row r="41" ht="15" hidden="0" customHeight="1">
      <x:c r="A41" s="68"/>
      <x:c r="B41" s="68"/>
      <x:c r="C41" s="68"/>
      <x:c r="D41" s="68"/>
      <x:c r="E41" s="68"/>
      <x:c r="F41" s="68"/>
      <x:c r="G41" s="68"/>
      <x:c r="H41" s="68"/>
      <x:c r="I41" s="68"/>
      <x:c r="J41" s="68"/>
      <x:c r="K41" s="68"/>
      <x:c r="L41" s="68"/>
      <x:c r="M41" s="68"/>
      <x:c r="N41" s="68"/>
      <x:c r="O41" s="68"/>
      <x:c r="P41" s="68"/>
      <x:c r="Q41" s="68"/>
      <x:c r="R41" s="68"/>
    </x:row>
    <x:row r="42" ht="15" hidden="0" customHeight="1">
      <x:c r="A42" s="68"/>
      <x:c r="B42" s="68"/>
      <x:c r="C42" s="68"/>
      <x:c r="D42" s="68"/>
      <x:c r="E42" s="68"/>
      <x:c r="F42" s="68"/>
      <x:c r="G42" s="68"/>
      <x:c r="H42" s="68"/>
      <x:c r="I42" s="68"/>
      <x:c r="J42" s="68"/>
      <x:c r="K42" s="68"/>
      <x:c r="L42" s="68"/>
      <x:c r="M42" s="68"/>
      <x:c r="N42" s="68"/>
      <x:c r="O42" s="68"/>
      <x:c r="P42" s="68"/>
      <x:c r="Q42" s="68"/>
      <x:c r="R42" s="68"/>
    </x:row>
    <x:row r="43" ht="15" hidden="0" customHeight="1">
      <x:c r="A43" s="68"/>
      <x:c r="B43" s="68"/>
      <x:c r="C43" s="68"/>
      <x:c r="D43" s="68"/>
      <x:c r="E43" s="68"/>
      <x:c r="F43" s="68"/>
      <x:c r="G43" s="68"/>
      <x:c r="H43" s="68"/>
      <x:c r="I43" s="68"/>
      <x:c r="J43" s="68"/>
      <x:c r="K43" s="68"/>
      <x:c r="L43" s="68"/>
      <x:c r="M43" s="68"/>
      <x:c r="N43" s="68"/>
      <x:c r="O43" s="68"/>
      <x:c r="P43" s="68"/>
      <x:c r="Q43" s="68"/>
      <x:c r="R43" s="68"/>
    </x:row>
    <x:row r="44" ht="15" hidden="0" customHeight="1">
      <x:c r="A44" s="68"/>
      <x:c r="B44" s="68"/>
      <x:c r="C44" s="68"/>
      <x:c r="D44" s="68"/>
      <x:c r="E44" s="68"/>
      <x:c r="F44" s="68"/>
      <x:c r="G44" s="68"/>
      <x:c r="H44" s="68"/>
      <x:c r="I44" s="68"/>
      <x:c r="J44" s="68"/>
      <x:c r="K44" s="68"/>
      <x:c r="L44" s="68"/>
      <x:c r="M44" s="68"/>
      <x:c r="N44" s="68"/>
      <x:c r="O44" s="68"/>
      <x:c r="P44" s="68"/>
      <x:c r="Q44" s="68"/>
      <x:c r="R44" s="68"/>
    </x:row>
    <x:row r="45" ht="15" hidden="0" customHeight="1">
      <x:c r="A45" s="68"/>
      <x:c r="B45" s="68"/>
      <x:c r="C45" s="68"/>
      <x:c r="D45" s="68"/>
      <x:c r="E45" s="68"/>
      <x:c r="F45" s="68"/>
      <x:c r="G45" s="68"/>
      <x:c r="H45" s="68"/>
      <x:c r="I45" s="68"/>
      <x:c r="J45" s="68"/>
      <x:c r="K45" s="68"/>
      <x:c r="L45" s="68"/>
      <x:c r="M45" s="68"/>
      <x:c r="N45" s="68"/>
      <x:c r="O45" s="68"/>
      <x:c r="P45" s="68"/>
      <x:c r="Q45" s="68"/>
      <x:c r="R45" s="68"/>
    </x:row>
    <x:row r="46" ht="15" hidden="0" customHeight="1">
      <x:c r="A46" s="68"/>
      <x:c r="B46" s="68"/>
      <x:c r="C46" s="68"/>
      <x:c r="D46" s="68"/>
      <x:c r="E46" s="68"/>
      <x:c r="F46" s="68"/>
      <x:c r="G46" s="68"/>
      <x:c r="H46" s="68"/>
      <x:c r="I46" s="68"/>
      <x:c r="J46" s="68"/>
      <x:c r="K46" s="68"/>
      <x:c r="L46" s="68"/>
      <x:c r="M46" s="68"/>
      <x:c r="N46" s="68"/>
      <x:c r="O46" s="68"/>
      <x:c r="P46" s="68"/>
      <x:c r="Q46" s="68"/>
      <x:c r="R46" s="68"/>
    </x:row>
    <x:row r="47" ht="15" hidden="0" customHeight="1">
      <x:c r="A47" s="68"/>
      <x:c r="B47" s="68"/>
      <x:c r="C47" s="68"/>
      <x:c r="D47" s="68"/>
      <x:c r="E47" s="68"/>
      <x:c r="F47" s="68"/>
      <x:c r="G47" s="68"/>
      <x:c r="H47" s="68"/>
      <x:c r="I47" s="68"/>
      <x:c r="J47" s="68"/>
      <x:c r="K47" s="68"/>
      <x:c r="L47" s="68"/>
      <x:c r="M47" s="68"/>
      <x:c r="N47" s="68"/>
      <x:c r="O47" s="68"/>
      <x:c r="P47" s="68"/>
      <x:c r="Q47" s="68"/>
      <x:c r="R47" s="68"/>
    </x:row>
    <x:row r="48" ht="15" hidden="0" customHeight="1">
      <x:c r="A48" s="68"/>
      <x:c r="B48" s="68"/>
      <x:c r="C48" s="68"/>
      <x:c r="D48" s="68"/>
      <x:c r="E48" s="68"/>
      <x:c r="F48" s="68"/>
      <x:c r="G48" s="68"/>
      <x:c r="H48" s="68"/>
      <x:c r="I48" s="68"/>
      <x:c r="J48" s="68"/>
      <x:c r="K48" s="68"/>
      <x:c r="L48" s="68"/>
      <x:c r="M48" s="68"/>
      <x:c r="N48" s="68"/>
      <x:c r="O48" s="68"/>
      <x:c r="P48" s="68"/>
      <x:c r="Q48" s="68"/>
      <x:c r="R48" s="68"/>
    </x:row>
    <x:row r="49" ht="15" hidden="0" customHeight="1">
      <x:c r="A49" s="68"/>
      <x:c r="B49" s="68"/>
      <x:c r="C49" s="68"/>
      <x:c r="D49" s="68"/>
      <x:c r="E49" s="68"/>
      <x:c r="F49" s="68"/>
      <x:c r="G49" s="68"/>
      <x:c r="H49" s="68"/>
      <x:c r="I49" s="68"/>
      <x:c r="J49" s="68"/>
      <x:c r="K49" s="68"/>
      <x:c r="L49" s="68"/>
      <x:c r="M49" s="68"/>
      <x:c r="N49" s="68"/>
      <x:c r="O49" s="68"/>
      <x:c r="P49" s="68"/>
      <x:c r="Q49" s="68"/>
      <x:c r="R49" s="68"/>
    </x:row>
    <x:row r="50" ht="15" hidden="0" customHeight="1">
      <x:c r="A50" s="68"/>
      <x:c r="B50" s="68"/>
      <x:c r="C50" s="68"/>
      <x:c r="D50" s="68"/>
      <x:c r="E50" s="68"/>
      <x:c r="F50" s="68"/>
      <x:c r="G50" s="68"/>
      <x:c r="H50" s="68"/>
      <x:c r="I50" s="68"/>
      <x:c r="J50" s="68"/>
      <x:c r="K50" s="68"/>
      <x:c r="L50" s="68"/>
      <x:c r="M50" s="68"/>
      <x:c r="N50" s="68"/>
      <x:c r="O50" s="68"/>
      <x:c r="P50" s="68"/>
      <x:c r="Q50" s="68"/>
      <x:c r="R50" s="68"/>
    </x:row>
    <x:row r="51" ht="15" hidden="0" customHeight="1">
      <x:c r="A51" s="68"/>
      <x:c r="B51" s="68"/>
      <x:c r="C51" s="68"/>
      <x:c r="D51" s="68"/>
      <x:c r="E51" s="68"/>
      <x:c r="F51" s="68"/>
      <x:c r="G51" s="68"/>
      <x:c r="H51" s="68"/>
      <x:c r="I51" s="68"/>
      <x:c r="J51" s="68"/>
      <x:c r="K51" s="68"/>
      <x:c r="L51" s="68"/>
      <x:c r="M51" s="68"/>
      <x:c r="N51" s="68"/>
      <x:c r="O51" s="68"/>
      <x:c r="P51" s="68"/>
      <x:c r="Q51" s="68"/>
      <x:c r="R51" s="68"/>
    </x:row>
    <x:row r="52" ht="15" hidden="0" customHeight="1">
      <x:c r="A52" s="68"/>
      <x:c r="B52" s="68"/>
      <x:c r="C52" s="68"/>
      <x:c r="D52" s="68"/>
      <x:c r="E52" s="68"/>
      <x:c r="F52" s="68"/>
      <x:c r="G52" s="68"/>
      <x:c r="H52" s="68"/>
      <x:c r="I52" s="68"/>
      <x:c r="J52" s="68"/>
      <x:c r="K52" s="68"/>
      <x:c r="L52" s="68"/>
      <x:c r="M52" s="68"/>
      <x:c r="N52" s="68"/>
      <x:c r="O52" s="68"/>
      <x:c r="P52" s="68"/>
      <x:c r="Q52" s="68"/>
      <x:c r="R52" s="68"/>
    </x:row>
    <x:row r="53" ht="15" hidden="0" customHeight="1">
      <x:c r="A53" s="68"/>
      <x:c r="B53" s="68"/>
      <x:c r="C53" s="68"/>
      <x:c r="D53" s="68"/>
      <x:c r="E53" s="68"/>
      <x:c r="F53" s="68"/>
      <x:c r="G53" s="68"/>
      <x:c r="H53" s="68"/>
      <x:c r="I53" s="68"/>
      <x:c r="J53" s="68"/>
      <x:c r="K53" s="68"/>
      <x:c r="L53" s="68"/>
      <x:c r="M53" s="68"/>
      <x:c r="N53" s="68"/>
      <x:c r="O53" s="68"/>
      <x:c r="P53" s="68"/>
      <x:c r="Q53" s="68"/>
      <x:c r="R53" s="68"/>
    </x:row>
    <x:row r="54" ht="15" hidden="0" customHeight="1">
      <x:c r="A54" s="68"/>
      <x:c r="B54" s="68"/>
      <x:c r="C54" s="68"/>
      <x:c r="D54" s="68"/>
      <x:c r="E54" s="68"/>
      <x:c r="F54" s="68"/>
      <x:c r="G54" s="68"/>
      <x:c r="H54" s="68"/>
      <x:c r="I54" s="68"/>
      <x:c r="J54" s="68"/>
      <x:c r="K54" s="68"/>
      <x:c r="L54" s="68"/>
      <x:c r="M54" s="68"/>
      <x:c r="N54" s="68"/>
      <x:c r="O54" s="68"/>
      <x:c r="P54" s="68"/>
      <x:c r="Q54" s="68"/>
      <x:c r="R54" s="68"/>
    </x:row>
    <x:row r="55" ht="15" hidden="0" customHeight="1">
      <x:c r="A55" s="68"/>
      <x:c r="B55" s="68"/>
      <x:c r="C55" s="68"/>
      <x:c r="D55" s="68"/>
      <x:c r="E55" s="68"/>
      <x:c r="F55" s="68"/>
      <x:c r="G55" s="68"/>
      <x:c r="H55" s="68"/>
      <x:c r="I55" s="68"/>
      <x:c r="J55" s="68"/>
      <x:c r="K55" s="68"/>
      <x:c r="L55" s="68"/>
      <x:c r="M55" s="68"/>
      <x:c r="N55" s="68"/>
      <x:c r="O55" s="68"/>
      <x:c r="P55" s="68"/>
      <x:c r="Q55" s="68"/>
      <x:c r="R55" s="68"/>
    </x:row>
    <x:row r="56" ht="15" hidden="0" customHeight="1">
      <x:c r="A56" s="68"/>
      <x:c r="B56" s="68"/>
      <x:c r="C56" s="68"/>
      <x:c r="D56" s="68"/>
      <x:c r="E56" s="68"/>
      <x:c r="F56" s="68"/>
      <x:c r="G56" s="68"/>
      <x:c r="H56" s="68"/>
      <x:c r="I56" s="68"/>
      <x:c r="J56" s="68"/>
      <x:c r="K56" s="68"/>
      <x:c r="L56" s="68"/>
      <x:c r="M56" s="68"/>
      <x:c r="N56" s="68"/>
      <x:c r="O56" s="68"/>
      <x:c r="P56" s="68"/>
      <x:c r="Q56" s="68"/>
      <x:c r="R56" s="68"/>
    </x:row>
    <x:row r="57" ht="15" hidden="0" customHeight="1">
      <x:c r="A57" s="68"/>
      <x:c r="B57" s="68"/>
      <x:c r="C57" s="68"/>
      <x:c r="D57" s="68"/>
      <x:c r="E57" s="68"/>
      <x:c r="F57" s="68"/>
      <x:c r="G57" s="68"/>
      <x:c r="H57" s="68"/>
      <x:c r="I57" s="68"/>
      <x:c r="J57" s="68"/>
      <x:c r="K57" s="68"/>
      <x:c r="L57" s="68"/>
      <x:c r="M57" s="68"/>
      <x:c r="N57" s="68"/>
      <x:c r="O57" s="68"/>
      <x:c r="P57" s="68"/>
      <x:c r="Q57" s="68"/>
      <x:c r="R57" s="68"/>
    </x:row>
    <x:row r="58" ht="15" hidden="0" customHeight="1">
      <x:c r="A58" s="68"/>
      <x:c r="B58" s="68"/>
      <x:c r="C58" s="68"/>
      <x:c r="D58" s="68"/>
      <x:c r="E58" s="68"/>
      <x:c r="F58" s="68"/>
      <x:c r="G58" s="68"/>
      <x:c r="H58" s="68"/>
      <x:c r="I58" s="68"/>
      <x:c r="J58" s="68"/>
      <x:c r="K58" s="68"/>
      <x:c r="L58" s="68"/>
      <x:c r="M58" s="68"/>
      <x:c r="N58" s="68"/>
      <x:c r="O58" s="68"/>
      <x:c r="P58" s="68"/>
      <x:c r="Q58" s="68"/>
      <x:c r="R58" s="68"/>
    </x:row>
    <x:row r="59" ht="15" hidden="0" customHeight="1">
      <x:c r="A59" s="68"/>
      <x:c r="B59" s="68"/>
      <x:c r="C59" s="68"/>
      <x:c r="D59" s="68"/>
      <x:c r="E59" s="68"/>
      <x:c r="F59" s="68"/>
      <x:c r="G59" s="68"/>
      <x:c r="H59" s="68"/>
      <x:c r="I59" s="68"/>
      <x:c r="J59" s="68"/>
      <x:c r="K59" s="68"/>
      <x:c r="L59" s="68"/>
      <x:c r="M59" s="68"/>
      <x:c r="N59" s="68"/>
      <x:c r="O59" s="68"/>
      <x:c r="P59" s="68"/>
      <x:c r="Q59" s="68"/>
      <x:c r="R59" s="68"/>
    </x:row>
    <x:row r="60" ht="15" hidden="0" customHeight="1">
      <x:c r="A60" s="68"/>
      <x:c r="B60" s="68"/>
      <x:c r="C60" s="68"/>
      <x:c r="D60" s="68"/>
      <x:c r="E60" s="68"/>
      <x:c r="F60" s="68"/>
      <x:c r="G60" s="68"/>
      <x:c r="H60" s="68"/>
      <x:c r="I60" s="68"/>
      <x:c r="J60" s="68"/>
      <x:c r="K60" s="68"/>
      <x:c r="L60" s="68"/>
      <x:c r="M60" s="68"/>
      <x:c r="N60" s="68"/>
      <x:c r="O60" s="68"/>
      <x:c r="P60" s="68"/>
      <x:c r="Q60" s="68"/>
      <x:c r="R60" s="68"/>
    </x:row>
    <x:row r="61" ht="15" hidden="0" customHeight="1">
      <x:c r="A61" s="68"/>
      <x:c r="B61" s="68"/>
      <x:c r="C61" s="68"/>
      <x:c r="D61" s="68"/>
      <x:c r="E61" s="68"/>
      <x:c r="F61" s="68"/>
      <x:c r="G61" s="68"/>
      <x:c r="H61" s="68"/>
      <x:c r="I61" s="68"/>
      <x:c r="J61" s="68"/>
      <x:c r="K61" s="68"/>
      <x:c r="L61" s="68"/>
      <x:c r="M61" s="68"/>
      <x:c r="N61" s="68"/>
      <x:c r="O61" s="68"/>
      <x:c r="P61" s="68"/>
      <x:c r="Q61" s="68"/>
      <x:c r="R61" s="68"/>
    </x:row>
    <x:row r="62" ht="15" hidden="0" customHeight="1">
      <x:c r="A62" s="68"/>
      <x:c r="B62" s="68"/>
      <x:c r="C62" s="68"/>
      <x:c r="D62" s="68"/>
      <x:c r="E62" s="68"/>
      <x:c r="F62" s="68"/>
      <x:c r="G62" s="68"/>
      <x:c r="H62" s="68"/>
      <x:c r="I62" s="68"/>
      <x:c r="J62" s="68"/>
      <x:c r="K62" s="68"/>
      <x:c r="L62" s="68"/>
      <x:c r="M62" s="68"/>
      <x:c r="N62" s="68"/>
      <x:c r="O62" s="68"/>
      <x:c r="P62" s="68"/>
      <x:c r="Q62" s="68"/>
      <x:c r="R62" s="68"/>
    </x:row>
    <x:row r="63" ht="15" hidden="0" customHeight="1">
      <x:c r="A63" s="68"/>
      <x:c r="B63" s="68"/>
      <x:c r="C63" s="68"/>
      <x:c r="D63" s="68"/>
      <x:c r="E63" s="68"/>
      <x:c r="F63" s="68"/>
      <x:c r="G63" s="68"/>
      <x:c r="H63" s="68"/>
      <x:c r="I63" s="68"/>
      <x:c r="J63" s="68"/>
      <x:c r="K63" s="68"/>
      <x:c r="L63" s="68"/>
      <x:c r="M63" s="68"/>
      <x:c r="N63" s="68"/>
      <x:c r="O63" s="68"/>
      <x:c r="P63" s="68"/>
      <x:c r="Q63" s="68"/>
      <x:c r="R63" s="68"/>
    </x:row>
    <x:row r="64" ht="15" hidden="0" customHeight="1">
      <x:c r="A64" s="68"/>
      <x:c r="B64" s="68"/>
      <x:c r="C64" s="68"/>
      <x:c r="D64" s="68"/>
      <x:c r="E64" s="68"/>
      <x:c r="F64" s="68"/>
      <x:c r="G64" s="68"/>
      <x:c r="H64" s="68"/>
      <x:c r="I64" s="68"/>
      <x:c r="J64" s="68"/>
      <x:c r="K64" s="68"/>
      <x:c r="L64" s="68"/>
      <x:c r="M64" s="68"/>
      <x:c r="N64" s="68"/>
      <x:c r="O64" s="68"/>
      <x:c r="P64" s="68"/>
      <x:c r="Q64" s="68"/>
      <x:c r="R64" s="68"/>
    </x:row>
    <x:row r="65" ht="15" hidden="0" customHeight="1">
      <x:c r="A65" s="68"/>
      <x:c r="B65" s="68"/>
      <x:c r="C65" s="68"/>
      <x:c r="D65" s="68"/>
      <x:c r="E65" s="68"/>
      <x:c r="F65" s="68"/>
      <x:c r="G65" s="68"/>
      <x:c r="H65" s="68"/>
      <x:c r="I65" s="68"/>
      <x:c r="J65" s="68"/>
      <x:c r="K65" s="68"/>
      <x:c r="L65" s="68"/>
      <x:c r="M65" s="68"/>
      <x:c r="N65" s="68"/>
      <x:c r="O65" s="68"/>
      <x:c r="P65" s="68"/>
      <x:c r="Q65" s="68"/>
      <x:c r="R65" s="68"/>
    </x:row>
    <x:row r="66" ht="15" hidden="0" customHeight="1">
      <x:c r="A66" s="68"/>
      <x:c r="B66" s="68"/>
      <x:c r="C66" s="68"/>
      <x:c r="D66" s="68"/>
      <x:c r="E66" s="68"/>
      <x:c r="F66" s="68"/>
      <x:c r="G66" s="68"/>
      <x:c r="H66" s="68"/>
      <x:c r="I66" s="68"/>
      <x:c r="J66" s="68"/>
      <x:c r="K66" s="68"/>
      <x:c r="L66" s="68"/>
      <x:c r="M66" s="68"/>
      <x:c r="N66" s="68"/>
      <x:c r="O66" s="68"/>
      <x:c r="P66" s="68"/>
      <x:c r="Q66" s="68"/>
      <x:c r="R66" s="68"/>
    </x:row>
    <x:row r="67" ht="15" hidden="0" customHeight="1">
      <x:c r="A67" s="68"/>
      <x:c r="B67" s="68"/>
      <x:c r="C67" s="68"/>
      <x:c r="D67" s="68"/>
      <x:c r="E67" s="68"/>
      <x:c r="F67" s="68"/>
      <x:c r="G67" s="68"/>
      <x:c r="H67" s="68"/>
      <x:c r="I67" s="68"/>
      <x:c r="J67" s="68"/>
      <x:c r="K67" s="68"/>
      <x:c r="L67" s="68"/>
      <x:c r="M67" s="68"/>
      <x:c r="N67" s="68"/>
      <x:c r="O67" s="68"/>
      <x:c r="P67" s="68"/>
      <x:c r="Q67" s="68"/>
      <x:c r="R67" s="68"/>
    </x:row>
    <x:row r="68" ht="15" hidden="0" customHeight="1">
      <x:c r="A68" s="68"/>
      <x:c r="B68" s="68"/>
      <x:c r="C68" s="68"/>
      <x:c r="D68" s="68"/>
      <x:c r="E68" s="68"/>
      <x:c r="F68" s="68"/>
      <x:c r="G68" s="68"/>
      <x:c r="H68" s="68"/>
      <x:c r="I68" s="68"/>
      <x:c r="J68" s="68"/>
      <x:c r="K68" s="68"/>
      <x:c r="L68" s="68"/>
      <x:c r="M68" s="68"/>
      <x:c r="N68" s="68"/>
      <x:c r="O68" s="68"/>
      <x:c r="P68" s="68"/>
      <x:c r="Q68" s="68"/>
      <x:c r="R68" s="68"/>
    </x:row>
    <x:row r="69" ht="15" hidden="0" customHeight="1">
      <x:c r="A69" s="68"/>
      <x:c r="B69" s="68"/>
      <x:c r="C69" s="68"/>
      <x:c r="D69" s="68"/>
      <x:c r="E69" s="68"/>
      <x:c r="F69" s="68"/>
      <x:c r="G69" s="68"/>
      <x:c r="H69" s="68"/>
      <x:c r="I69" s="68"/>
      <x:c r="J69" s="68"/>
      <x:c r="K69" s="68"/>
      <x:c r="L69" s="68"/>
      <x:c r="M69" s="68"/>
      <x:c r="N69" s="68"/>
      <x:c r="O69" s="68"/>
      <x:c r="P69" s="68"/>
      <x:c r="Q69" s="68"/>
      <x:c r="R69" s="68"/>
    </x:row>
    <x:row r="70" ht="15" hidden="0" customHeight="1">
      <x:c r="A70" s="68"/>
      <x:c r="B70" s="68"/>
      <x:c r="C70" s="68"/>
      <x:c r="D70" s="68"/>
      <x:c r="E70" s="68"/>
      <x:c r="F70" s="68"/>
      <x:c r="G70" s="68"/>
      <x:c r="H70" s="68"/>
      <x:c r="I70" s="68"/>
      <x:c r="J70" s="68"/>
      <x:c r="K70" s="68"/>
      <x:c r="L70" s="68"/>
      <x:c r="M70" s="68"/>
      <x:c r="N70" s="68"/>
      <x:c r="O70" s="68"/>
      <x:c r="P70" s="68"/>
      <x:c r="Q70" s="68"/>
      <x:c r="R70" s="68"/>
    </x:row>
    <x:row r="71" ht="15" hidden="0" customHeight="1">
      <x:c r="A71" s="68"/>
      <x:c r="B71" s="68"/>
      <x:c r="C71" s="68"/>
      <x:c r="D71" s="68"/>
      <x:c r="E71" s="68"/>
      <x:c r="F71" s="68"/>
      <x:c r="G71" s="68"/>
      <x:c r="H71" s="68"/>
      <x:c r="I71" s="68"/>
      <x:c r="J71" s="68"/>
      <x:c r="K71" s="68"/>
      <x:c r="L71" s="68"/>
      <x:c r="M71" s="68"/>
      <x:c r="N71" s="68"/>
      <x:c r="O71" s="68"/>
      <x:c r="P71" s="68"/>
      <x:c r="Q71" s="68"/>
      <x:c r="R71" s="68"/>
    </x:row>
    <x:row r="72" ht="15" hidden="0" customHeight="1">
      <x:c r="A72" s="68"/>
      <x:c r="B72" s="68"/>
      <x:c r="C72" s="68"/>
      <x:c r="D72" s="68"/>
      <x:c r="E72" s="68"/>
      <x:c r="F72" s="68"/>
      <x:c r="G72" s="68"/>
      <x:c r="H72" s="68"/>
      <x:c r="I72" s="68"/>
      <x:c r="J72" s="68"/>
      <x:c r="K72" s="68"/>
      <x:c r="L72" s="68"/>
      <x:c r="M72" s="68"/>
      <x:c r="N72" s="68"/>
      <x:c r="O72" s="68"/>
      <x:c r="P72" s="68"/>
      <x:c r="Q72" s="68"/>
      <x:c r="R72" s="68"/>
    </x:row>
    <x:row r="73" ht="15" hidden="0" customHeight="1">
      <x:c r="A73" s="68"/>
      <x:c r="B73" s="68"/>
      <x:c r="C73" s="68"/>
      <x:c r="D73" s="68"/>
      <x:c r="E73" s="68"/>
      <x:c r="F73" s="68"/>
      <x:c r="G73" s="68"/>
      <x:c r="H73" s="68"/>
      <x:c r="I73" s="68"/>
      <x:c r="J73" s="68"/>
      <x:c r="K73" s="68"/>
      <x:c r="L73" s="68"/>
      <x:c r="M73" s="68"/>
      <x:c r="N73" s="68"/>
      <x:c r="O73" s="68"/>
      <x:c r="P73" s="68"/>
      <x:c r="Q73" s="68"/>
      <x:c r="R73" s="68"/>
    </x:row>
    <x:row r="74" ht="15" hidden="0" customHeight="1">
      <x:c r="A74" s="68"/>
      <x:c r="B74" s="68"/>
      <x:c r="C74" s="68"/>
      <x:c r="D74" s="68"/>
      <x:c r="E74" s="68"/>
      <x:c r="F74" s="68"/>
      <x:c r="G74" s="68"/>
      <x:c r="H74" s="68"/>
      <x:c r="I74" s="68"/>
      <x:c r="J74" s="68"/>
      <x:c r="K74" s="68"/>
      <x:c r="L74" s="68"/>
      <x:c r="M74" s="68"/>
      <x:c r="N74" s="68"/>
      <x:c r="O74" s="68"/>
      <x:c r="P74" s="68"/>
      <x:c r="Q74" s="68"/>
      <x:c r="R74" s="68"/>
    </x:row>
    <x:row r="75" ht="15" hidden="0" customHeight="1">
      <x:c r="A75" s="68"/>
      <x:c r="B75" s="68"/>
      <x:c r="C75" s="68"/>
      <x:c r="D75" s="68"/>
      <x:c r="E75" s="68"/>
      <x:c r="F75" s="68"/>
      <x:c r="G75" s="68"/>
      <x:c r="H75" s="68"/>
      <x:c r="I75" s="68"/>
      <x:c r="J75" s="68"/>
      <x:c r="K75" s="68"/>
      <x:c r="L75" s="68"/>
      <x:c r="M75" s="68"/>
      <x:c r="N75" s="68"/>
      <x:c r="O75" s="68"/>
      <x:c r="P75" s="68"/>
      <x:c r="Q75" s="68"/>
      <x:c r="R75" s="68"/>
    </x:row>
    <x:row r="76" ht="15" hidden="0" customHeight="1">
      <x:c r="A76" s="68"/>
      <x:c r="B76" s="68"/>
      <x:c r="C76" s="68"/>
      <x:c r="D76" s="68"/>
      <x:c r="E76" s="68"/>
      <x:c r="F76" s="68"/>
      <x:c r="G76" s="68"/>
      <x:c r="H76" s="68"/>
      <x:c r="I76" s="68"/>
      <x:c r="J76" s="68"/>
      <x:c r="K76" s="68"/>
      <x:c r="L76" s="68"/>
      <x:c r="M76" s="68"/>
      <x:c r="N76" s="68"/>
      <x:c r="O76" s="68"/>
      <x:c r="P76" s="68"/>
      <x:c r="Q76" s="68"/>
      <x:c r="R76" s="68"/>
    </x:row>
    <x:row r="77" ht="15" hidden="0" customHeight="1">
      <x:c r="A77" s="68"/>
      <x:c r="B77" s="68"/>
      <x:c r="C77" s="68"/>
      <x:c r="D77" s="68"/>
      <x:c r="E77" s="68"/>
      <x:c r="F77" s="68"/>
      <x:c r="G77" s="68"/>
      <x:c r="H77" s="68"/>
      <x:c r="I77" s="68"/>
      <x:c r="J77" s="68"/>
      <x:c r="K77" s="68"/>
      <x:c r="L77" s="68"/>
      <x:c r="M77" s="68"/>
      <x:c r="N77" s="68"/>
      <x:c r="O77" s="68"/>
      <x:c r="P77" s="68"/>
      <x:c r="Q77" s="68"/>
      <x:c r="R77" s="68"/>
    </x:row>
    <x:row r="78" ht="15" hidden="0" customHeight="1">
      <x:c r="A78" s="68"/>
      <x:c r="B78" s="68"/>
      <x:c r="C78" s="68"/>
      <x:c r="D78" s="68"/>
      <x:c r="E78" s="68"/>
      <x:c r="F78" s="68"/>
      <x:c r="G78" s="68"/>
      <x:c r="H78" s="68"/>
      <x:c r="I78" s="68"/>
      <x:c r="J78" s="68"/>
      <x:c r="K78" s="68"/>
      <x:c r="L78" s="68"/>
      <x:c r="M78" s="68"/>
      <x:c r="N78" s="68"/>
      <x:c r="O78" s="68"/>
      <x:c r="P78" s="68"/>
      <x:c r="Q78" s="68"/>
      <x:c r="R78" s="68"/>
    </x:row>
    <x:row r="79" ht="15" hidden="0" customHeight="1">
      <x:c r="A79" s="68"/>
      <x:c r="B79" s="68"/>
      <x:c r="C79" s="68"/>
      <x:c r="D79" s="68"/>
      <x:c r="E79" s="68"/>
      <x:c r="F79" s="68"/>
      <x:c r="G79" s="68"/>
      <x:c r="H79" s="68"/>
      <x:c r="I79" s="68"/>
      <x:c r="J79" s="68"/>
      <x:c r="K79" s="68"/>
      <x:c r="L79" s="68"/>
      <x:c r="M79" s="68"/>
      <x:c r="N79" s="68"/>
      <x:c r="O79" s="68"/>
      <x:c r="P79" s="68"/>
      <x:c r="Q79" s="68"/>
      <x:c r="R79" s="68"/>
    </x:row>
    <x:row r="80" ht="15" hidden="0" customHeight="1">
      <x:c r="A80" s="68"/>
      <x:c r="B80" s="68"/>
      <x:c r="C80" s="68"/>
      <x:c r="D80" s="68"/>
      <x:c r="E80" s="68"/>
      <x:c r="F80" s="68"/>
      <x:c r="G80" s="68"/>
      <x:c r="H80" s="68"/>
      <x:c r="I80" s="68"/>
      <x:c r="J80" s="68"/>
      <x:c r="K80" s="68"/>
      <x:c r="L80" s="68"/>
      <x:c r="M80" s="68"/>
      <x:c r="N80" s="68"/>
      <x:c r="O80" s="68"/>
      <x:c r="P80" s="68"/>
      <x:c r="Q80" s="68"/>
      <x:c r="R80" s="68"/>
    </x:row>
    <x:row r="81" ht="15" hidden="0" customHeight="1">
      <x:c r="A81" s="68"/>
      <x:c r="B81" s="68"/>
      <x:c r="C81" s="68"/>
      <x:c r="D81" s="68"/>
      <x:c r="E81" s="68"/>
      <x:c r="F81" s="68"/>
      <x:c r="G81" s="68"/>
      <x:c r="H81" s="68"/>
      <x:c r="I81" s="68"/>
      <x:c r="J81" s="68"/>
      <x:c r="K81" s="68"/>
      <x:c r="L81" s="68"/>
      <x:c r="M81" s="68"/>
      <x:c r="N81" s="68"/>
      <x:c r="O81" s="68"/>
      <x:c r="P81" s="68"/>
      <x:c r="Q81" s="68"/>
      <x:c r="R81" s="68"/>
    </x:row>
    <x:row r="82" ht="15" hidden="0" customHeight="1">
      <x:c r="A82" s="68"/>
      <x:c r="B82" s="68"/>
      <x:c r="C82" s="68"/>
      <x:c r="D82" s="68"/>
      <x:c r="E82" s="68"/>
      <x:c r="F82" s="68"/>
      <x:c r="G82" s="68"/>
      <x:c r="H82" s="68"/>
      <x:c r="I82" s="68"/>
      <x:c r="J82" s="68"/>
      <x:c r="K82" s="68"/>
      <x:c r="L82" s="68"/>
      <x:c r="M82" s="68"/>
      <x:c r="N82" s="68"/>
      <x:c r="O82" s="68"/>
      <x:c r="P82" s="68"/>
      <x:c r="Q82" s="68"/>
      <x:c r="R82" s="68"/>
    </x:row>
    <x:row r="83" ht="15" hidden="0" customHeight="1">
      <x:c r="A83" s="68"/>
      <x:c r="B83" s="68"/>
      <x:c r="C83" s="68"/>
      <x:c r="D83" s="68"/>
      <x:c r="E83" s="68"/>
      <x:c r="F83" s="68"/>
      <x:c r="G83" s="68"/>
      <x:c r="H83" s="68"/>
      <x:c r="I83" s="68"/>
      <x:c r="J83" s="68"/>
      <x:c r="K83" s="68"/>
      <x:c r="L83" s="68"/>
      <x:c r="M83" s="68"/>
      <x:c r="N83" s="68"/>
      <x:c r="O83" s="68"/>
      <x:c r="P83" s="68"/>
      <x:c r="Q83" s="68"/>
      <x:c r="R83" s="68"/>
    </x:row>
    <x:row r="84" ht="15" hidden="0" customHeight="1">
      <x:c r="A84" s="68"/>
      <x:c r="B84" s="68"/>
      <x:c r="C84" s="68"/>
      <x:c r="D84" s="68"/>
      <x:c r="E84" s="68"/>
      <x:c r="F84" s="68"/>
      <x:c r="G84" s="68"/>
      <x:c r="H84" s="68"/>
      <x:c r="I84" s="68"/>
      <x:c r="J84" s="68"/>
      <x:c r="K84" s="68"/>
      <x:c r="L84" s="68"/>
      <x:c r="M84" s="68"/>
      <x:c r="N84" s="68"/>
      <x:c r="O84" s="68"/>
      <x:c r="P84" s="68"/>
      <x:c r="Q84" s="68"/>
      <x:c r="R84" s="68"/>
    </x:row>
    <x:row r="85" ht="15" hidden="0" customHeight="1">
      <x:c r="A85" s="68"/>
      <x:c r="B85" s="68"/>
      <x:c r="C85" s="68"/>
      <x:c r="D85" s="68"/>
      <x:c r="E85" s="68"/>
      <x:c r="F85" s="68"/>
      <x:c r="G85" s="68"/>
      <x:c r="H85" s="68"/>
      <x:c r="I85" s="68"/>
      <x:c r="J85" s="68"/>
      <x:c r="K85" s="68"/>
      <x:c r="L85" s="68"/>
      <x:c r="M85" s="68"/>
      <x:c r="N85" s="68"/>
      <x:c r="O85" s="68"/>
      <x:c r="P85" s="68"/>
      <x:c r="Q85" s="68"/>
      <x:c r="R85" s="68"/>
    </x:row>
    <x:row r="86" ht="15" hidden="0" customHeight="1">
      <x:c r="A86" s="68"/>
      <x:c r="B86" s="68"/>
      <x:c r="C86" s="68"/>
      <x:c r="D86" s="68"/>
      <x:c r="E86" s="68"/>
      <x:c r="F86" s="68"/>
      <x:c r="G86" s="68"/>
      <x:c r="H86" s="68"/>
      <x:c r="I86" s="68"/>
      <x:c r="J86" s="68"/>
      <x:c r="K86" s="68"/>
      <x:c r="L86" s="68"/>
      <x:c r="M86" s="68"/>
      <x:c r="N86" s="68"/>
      <x:c r="O86" s="68"/>
      <x:c r="P86" s="68"/>
      <x:c r="Q86" s="68"/>
      <x:c r="R86" s="68"/>
    </x:row>
    <x:row r="87" ht="15" hidden="0" customHeight="1">
      <x:c r="A87" s="68"/>
      <x:c r="B87" s="68"/>
      <x:c r="C87" s="68"/>
      <x:c r="D87" s="68"/>
      <x:c r="E87" s="68"/>
      <x:c r="F87" s="68"/>
      <x:c r="G87" s="68"/>
      <x:c r="H87" s="68"/>
      <x:c r="I87" s="68"/>
      <x:c r="J87" s="68"/>
      <x:c r="K87" s="68"/>
      <x:c r="L87" s="68"/>
      <x:c r="M87" s="68"/>
      <x:c r="N87" s="68"/>
      <x:c r="O87" s="68"/>
      <x:c r="P87" s="68"/>
      <x:c r="Q87" s="68"/>
      <x:c r="R87" s="68"/>
    </x:row>
    <x:row r="88" ht="15" hidden="0" customHeight="1">
      <x:c r="A88" s="68"/>
      <x:c r="B88" s="68"/>
      <x:c r="C88" s="68"/>
      <x:c r="D88" s="68"/>
      <x:c r="E88" s="68"/>
      <x:c r="F88" s="68"/>
      <x:c r="G88" s="68"/>
      <x:c r="H88" s="68"/>
      <x:c r="I88" s="68"/>
      <x:c r="J88" s="68"/>
      <x:c r="K88" s="68"/>
      <x:c r="L88" s="68"/>
      <x:c r="M88" s="68"/>
      <x:c r="N88" s="68"/>
      <x:c r="O88" s="68"/>
      <x:c r="P88" s="68"/>
      <x:c r="Q88" s="68"/>
      <x:c r="R88" s="68"/>
    </x:row>
    <x:row r="89" ht="15" hidden="0" customHeight="1">
      <x:c r="A89" s="68"/>
      <x:c r="B89" s="68"/>
      <x:c r="C89" s="68"/>
      <x:c r="D89" s="68"/>
      <x:c r="E89" s="68"/>
      <x:c r="F89" s="68"/>
      <x:c r="G89" s="68"/>
      <x:c r="H89" s="68"/>
      <x:c r="I89" s="68"/>
      <x:c r="J89" s="68"/>
      <x:c r="K89" s="68"/>
      <x:c r="L89" s="68"/>
      <x:c r="M89" s="68"/>
      <x:c r="N89" s="68"/>
      <x:c r="O89" s="68"/>
      <x:c r="P89" s="68"/>
      <x:c r="Q89" s="68"/>
      <x:c r="R89" s="68"/>
    </x:row>
    <x:row r="90" ht="15" hidden="0" customHeight="1">
      <x:c r="A90" s="68"/>
      <x:c r="B90" s="68"/>
      <x:c r="C90" s="68"/>
      <x:c r="D90" s="68"/>
      <x:c r="E90" s="68"/>
      <x:c r="F90" s="68"/>
      <x:c r="G90" s="68"/>
      <x:c r="H90" s="68"/>
      <x:c r="I90" s="68"/>
      <x:c r="J90" s="68"/>
      <x:c r="K90" s="68"/>
      <x:c r="L90" s="68"/>
      <x:c r="M90" s="68"/>
      <x:c r="N90" s="68"/>
      <x:c r="O90" s="68"/>
      <x:c r="P90" s="68"/>
      <x:c r="Q90" s="68"/>
      <x:c r="R90" s="68"/>
    </x:row>
    <x:row r="91" ht="15" hidden="0" customHeight="1">
      <x:c r="A91" s="68"/>
      <x:c r="B91" s="68"/>
      <x:c r="C91" s="68"/>
      <x:c r="D91" s="68"/>
      <x:c r="E91" s="68"/>
      <x:c r="F91" s="68"/>
      <x:c r="G91" s="68"/>
      <x:c r="H91" s="68"/>
      <x:c r="I91" s="68"/>
      <x:c r="J91" s="68"/>
      <x:c r="K91" s="68"/>
      <x:c r="L91" s="68"/>
      <x:c r="M91" s="68"/>
      <x:c r="N91" s="68"/>
      <x:c r="O91" s="68"/>
      <x:c r="P91" s="68"/>
      <x:c r="Q91" s="68"/>
      <x:c r="R91" s="68"/>
    </x:row>
    <x:row r="92" ht="15" hidden="0" customHeight="1">
      <x:c r="A92" s="68"/>
      <x:c r="B92" s="68"/>
      <x:c r="C92" s="68"/>
      <x:c r="D92" s="68"/>
      <x:c r="E92" s="68"/>
      <x:c r="F92" s="68"/>
      <x:c r="G92" s="68"/>
      <x:c r="H92" s="68"/>
      <x:c r="I92" s="68"/>
      <x:c r="J92" s="68"/>
      <x:c r="K92" s="68"/>
      <x:c r="L92" s="68"/>
      <x:c r="M92" s="68"/>
      <x:c r="N92" s="68"/>
      <x:c r="O92" s="68"/>
      <x:c r="P92" s="68"/>
      <x:c r="Q92" s="68"/>
      <x:c r="R92" s="68"/>
    </x:row>
    <x:row r="93" ht="15" hidden="0" customHeight="1">
      <x:c r="A93" s="68"/>
      <x:c r="B93" s="68"/>
      <x:c r="C93" s="68"/>
      <x:c r="D93" s="68"/>
      <x:c r="E93" s="68"/>
      <x:c r="F93" s="68"/>
      <x:c r="G93" s="68"/>
      <x:c r="H93" s="68"/>
      <x:c r="I93" s="68"/>
      <x:c r="J93" s="68"/>
      <x:c r="K93" s="68"/>
      <x:c r="L93" s="68"/>
      <x:c r="M93" s="68"/>
      <x:c r="N93" s="68"/>
      <x:c r="O93" s="68"/>
      <x:c r="P93" s="68"/>
      <x:c r="Q93" s="68"/>
      <x:c r="R93" s="68"/>
    </x:row>
    <x:row r="94" ht="15" hidden="0" customHeight="1">
      <x:c r="A94" s="68"/>
      <x:c r="B94" s="68"/>
      <x:c r="C94" s="68"/>
      <x:c r="D94" s="68"/>
      <x:c r="E94" s="68"/>
      <x:c r="F94" s="68"/>
      <x:c r="G94" s="68"/>
      <x:c r="H94" s="68"/>
      <x:c r="I94" s="68"/>
      <x:c r="J94" s="68"/>
      <x:c r="K94" s="68"/>
      <x:c r="L94" s="68"/>
      <x:c r="M94" s="68"/>
      <x:c r="N94" s="68"/>
      <x:c r="O94" s="68"/>
      <x:c r="P94" s="68"/>
      <x:c r="Q94" s="68"/>
      <x:c r="R94" s="68"/>
    </x:row>
    <x:row r="95" ht="15" hidden="0" customHeight="1">
      <x:c r="A95" s="68"/>
      <x:c r="B95" s="68"/>
      <x:c r="C95" s="68"/>
      <x:c r="D95" s="68"/>
      <x:c r="E95" s="68"/>
      <x:c r="F95" s="68"/>
      <x:c r="G95" s="68"/>
      <x:c r="H95" s="68"/>
      <x:c r="I95" s="68"/>
      <x:c r="J95" s="68"/>
      <x:c r="K95" s="68"/>
      <x:c r="L95" s="68"/>
      <x:c r="M95" s="68"/>
      <x:c r="N95" s="68"/>
      <x:c r="O95" s="68"/>
      <x:c r="P95" s="68"/>
      <x:c r="Q95" s="68"/>
      <x:c r="R95" s="68"/>
    </x:row>
    <x:row r="96" ht="15" hidden="0" customHeight="1">
      <x:c r="A96" s="68"/>
      <x:c r="B96" s="68"/>
      <x:c r="C96" s="68"/>
      <x:c r="D96" s="68"/>
      <x:c r="E96" s="68"/>
      <x:c r="F96" s="68"/>
      <x:c r="G96" s="68"/>
      <x:c r="H96" s="68"/>
      <x:c r="I96" s="68"/>
      <x:c r="J96" s="68"/>
      <x:c r="K96" s="68"/>
      <x:c r="L96" s="68"/>
      <x:c r="M96" s="68"/>
      <x:c r="N96" s="68"/>
      <x:c r="O96" s="68"/>
      <x:c r="P96" s="68"/>
      <x:c r="Q96" s="68"/>
      <x:c r="R96" s="68"/>
    </x:row>
    <x:row r="97" ht="15" hidden="0" customHeight="1">
      <x:c r="A97" s="68"/>
      <x:c r="B97" s="68"/>
      <x:c r="C97" s="68"/>
      <x:c r="D97" s="68"/>
      <x:c r="E97" s="68"/>
      <x:c r="F97" s="68"/>
      <x:c r="G97" s="68"/>
      <x:c r="H97" s="68"/>
      <x:c r="I97" s="68"/>
      <x:c r="J97" s="68"/>
      <x:c r="K97" s="68"/>
      <x:c r="L97" s="68"/>
      <x:c r="M97" s="68"/>
      <x:c r="N97" s="68"/>
      <x:c r="O97" s="68"/>
      <x:c r="P97" s="68"/>
      <x:c r="Q97" s="68"/>
      <x:c r="R97" s="68"/>
    </x:row>
    <x:row r="98" ht="15" hidden="0" customHeight="1">
      <x:c r="A98" s="68"/>
      <x:c r="B98" s="68"/>
      <x:c r="C98" s="68"/>
      <x:c r="D98" s="68"/>
      <x:c r="E98" s="68"/>
      <x:c r="F98" s="68"/>
      <x:c r="G98" s="68"/>
      <x:c r="H98" s="68"/>
      <x:c r="I98" s="68"/>
      <x:c r="J98" s="68"/>
      <x:c r="K98" s="68"/>
      <x:c r="L98" s="68"/>
      <x:c r="M98" s="68"/>
      <x:c r="N98" s="68"/>
      <x:c r="O98" s="68"/>
      <x:c r="P98" s="68"/>
      <x:c r="Q98" s="68"/>
      <x:c r="R98" s="68"/>
    </x:row>
    <x:row r="99" ht="15" hidden="0" customHeight="1">
      <x:c r="A99" s="68"/>
      <x:c r="B99" s="68"/>
      <x:c r="C99" s="68"/>
      <x:c r="D99" s="68"/>
      <x:c r="E99" s="68"/>
      <x:c r="F99" s="68"/>
      <x:c r="G99" s="68"/>
      <x:c r="H99" s="68"/>
      <x:c r="I99" s="68"/>
      <x:c r="J99" s="68"/>
      <x:c r="K99" s="68"/>
      <x:c r="L99" s="68"/>
      <x:c r="M99" s="68"/>
      <x:c r="N99" s="68"/>
      <x:c r="O99" s="68"/>
      <x:c r="P99" s="68"/>
      <x:c r="Q99" s="68"/>
      <x:c r="R99" s="68"/>
    </x:row>
    <x:row r="100" ht="15" hidden="0" customHeight="1">
      <x:c r="A100" s="68"/>
      <x:c r="B100" s="68"/>
      <x:c r="C100" s="68"/>
      <x:c r="D100" s="68"/>
      <x:c r="E100" s="68"/>
      <x:c r="F100" s="68"/>
      <x:c r="G100" s="68"/>
      <x:c r="H100" s="68"/>
      <x:c r="I100" s="68"/>
      <x:c r="J100" s="68"/>
      <x:c r="K100" s="68"/>
      <x:c r="L100" s="68"/>
      <x:c r="M100" s="68"/>
      <x:c r="N100" s="68"/>
      <x:c r="O100" s="68"/>
      <x:c r="P100" s="68"/>
      <x:c r="Q100" s="68"/>
      <x:c r="R100" s="68"/>
    </x:row>
    <x:row r="101" ht="15" hidden="0" customHeight="1">
      <x:c r="A101" s="68"/>
      <x:c r="B101" s="68"/>
      <x:c r="C101" s="68"/>
      <x:c r="D101" s="68"/>
      <x:c r="E101" s="68"/>
      <x:c r="F101" s="68"/>
      <x:c r="G101" s="68"/>
      <x:c r="H101" s="68"/>
      <x:c r="I101" s="68"/>
      <x:c r="J101" s="68"/>
      <x:c r="K101" s="68"/>
      <x:c r="L101" s="68"/>
      <x:c r="M101" s="68"/>
      <x:c r="N101" s="68"/>
      <x:c r="O101" s="68"/>
      <x:c r="P101" s="68"/>
      <x:c r="Q101" s="68"/>
      <x:c r="R101" s="68"/>
    </x:row>
    <x:row r="102" ht="15" hidden="0" customHeight="1">
      <x:c r="A102" s="68"/>
      <x:c r="B102" s="68"/>
      <x:c r="C102" s="68"/>
      <x:c r="D102" s="68"/>
      <x:c r="E102" s="68"/>
      <x:c r="F102" s="68"/>
      <x:c r="G102" s="68"/>
      <x:c r="H102" s="68"/>
      <x:c r="I102" s="68"/>
      <x:c r="J102" s="68"/>
      <x:c r="K102" s="68"/>
      <x:c r="L102" s="68"/>
      <x:c r="M102" s="68"/>
      <x:c r="N102" s="68"/>
      <x:c r="O102" s="68"/>
      <x:c r="P102" s="68"/>
      <x:c r="Q102" s="68"/>
      <x:c r="R102" s="68"/>
    </x:row>
    <x:row r="103" ht="15" hidden="0" customHeight="1">
      <x:c r="A103" s="68"/>
      <x:c r="B103" s="68"/>
      <x:c r="C103" s="68"/>
      <x:c r="D103" s="68"/>
      <x:c r="E103" s="68"/>
      <x:c r="F103" s="68"/>
      <x:c r="G103" s="68"/>
      <x:c r="H103" s="68"/>
      <x:c r="I103" s="68"/>
      <x:c r="J103" s="68"/>
      <x:c r="K103" s="68"/>
      <x:c r="L103" s="68"/>
      <x:c r="M103" s="68"/>
      <x:c r="N103" s="68"/>
      <x:c r="O103" s="68"/>
      <x:c r="P103" s="68"/>
      <x:c r="Q103" s="68"/>
      <x:c r="R103" s="68"/>
    </x:row>
    <x:row r="104" ht="15" hidden="0" customHeight="1">
      <x:c r="A104" s="68"/>
      <x:c r="B104" s="68"/>
      <x:c r="C104" s="68"/>
      <x:c r="D104" s="68"/>
      <x:c r="E104" s="68"/>
      <x:c r="F104" s="68"/>
      <x:c r="G104" s="68"/>
      <x:c r="H104" s="68"/>
      <x:c r="I104" s="68"/>
      <x:c r="J104" s="68"/>
      <x:c r="K104" s="68"/>
      <x:c r="L104" s="68"/>
      <x:c r="M104" s="68"/>
      <x:c r="N104" s="68"/>
      <x:c r="O104" s="68"/>
      <x:c r="P104" s="68"/>
      <x:c r="Q104" s="68"/>
      <x:c r="R104" s="68"/>
    </x:row>
    <x:row r="105" ht="15" hidden="0" customHeight="1">
      <x:c r="A105" s="68"/>
      <x:c r="B105" s="68"/>
      <x:c r="C105" s="68"/>
      <x:c r="D105" s="68"/>
      <x:c r="E105" s="68"/>
      <x:c r="F105" s="68"/>
      <x:c r="G105" s="68"/>
      <x:c r="H105" s="68"/>
      <x:c r="I105" s="68"/>
      <x:c r="J105" s="68"/>
      <x:c r="K105" s="68"/>
      <x:c r="L105" s="68"/>
      <x:c r="M105" s="68"/>
      <x:c r="N105" s="68"/>
      <x:c r="O105" s="68"/>
      <x:c r="P105" s="68"/>
      <x:c r="Q105" s="68"/>
      <x:c r="R105" s="68"/>
    </x:row>
    <x:row r="106" ht="15" hidden="0" customHeight="1">
      <x:c r="A106" s="68"/>
      <x:c r="B106" s="68"/>
      <x:c r="C106" s="68"/>
      <x:c r="D106" s="68"/>
      <x:c r="E106" s="68"/>
      <x:c r="F106" s="68"/>
      <x:c r="G106" s="68"/>
      <x:c r="H106" s="68"/>
      <x:c r="I106" s="68"/>
      <x:c r="J106" s="68"/>
      <x:c r="K106" s="68"/>
      <x:c r="L106" s="68"/>
      <x:c r="M106" s="68"/>
      <x:c r="N106" s="68"/>
      <x:c r="O106" s="68"/>
      <x:c r="P106" s="68"/>
      <x:c r="Q106" s="68"/>
      <x:c r="R106" s="68"/>
    </x:row>
    <x:row r="107" ht="15" hidden="0" customHeight="1">
      <x:c r="A107" s="68"/>
      <x:c r="B107" s="68"/>
      <x:c r="C107" s="68"/>
      <x:c r="D107" s="68"/>
      <x:c r="E107" s="68"/>
      <x:c r="F107" s="68"/>
      <x:c r="G107" s="68"/>
      <x:c r="H107" s="68"/>
      <x:c r="I107" s="68"/>
      <x:c r="J107" s="68"/>
      <x:c r="K107" s="68"/>
      <x:c r="L107" s="68"/>
      <x:c r="M107" s="68"/>
      <x:c r="N107" s="68"/>
      <x:c r="O107" s="68"/>
      <x:c r="P107" s="68"/>
      <x:c r="Q107" s="68"/>
      <x:c r="R107" s="68"/>
    </x:row>
    <x:row r="108" ht="15" hidden="0" customHeight="1">
      <x:c r="A108" s="68"/>
      <x:c r="B108" s="68"/>
      <x:c r="C108" s="68"/>
      <x:c r="D108" s="68"/>
      <x:c r="E108" s="68"/>
      <x:c r="F108" s="68"/>
      <x:c r="G108" s="68"/>
      <x:c r="H108" s="68"/>
      <x:c r="I108" s="68"/>
      <x:c r="J108" s="68"/>
      <x:c r="K108" s="68"/>
      <x:c r="L108" s="68"/>
      <x:c r="M108" s="68"/>
      <x:c r="N108" s="68"/>
      <x:c r="O108" s="68"/>
      <x:c r="P108" s="68"/>
      <x:c r="Q108" s="68"/>
      <x:c r="R108" s="68"/>
    </x:row>
    <x:row r="109" ht="15" hidden="0" customHeight="1">
      <x:c r="A109" s="68"/>
      <x:c r="B109" s="68"/>
      <x:c r="C109" s="68"/>
      <x:c r="D109" s="68"/>
      <x:c r="E109" s="68"/>
      <x:c r="F109" s="68"/>
      <x:c r="G109" s="68"/>
      <x:c r="H109" s="68"/>
      <x:c r="I109" s="68"/>
      <x:c r="J109" s="68"/>
      <x:c r="K109" s="68"/>
      <x:c r="L109" s="68"/>
      <x:c r="M109" s="68"/>
      <x:c r="N109" s="68"/>
      <x:c r="O109" s="68"/>
      <x:c r="P109" s="68"/>
      <x:c r="Q109" s="68"/>
      <x:c r="R109" s="68"/>
    </x:row>
    <x:row r="110" ht="15" hidden="0" customHeight="1">
      <x:c r="A110" s="68"/>
      <x:c r="B110" s="68"/>
      <x:c r="C110" s="68"/>
      <x:c r="D110" s="68"/>
      <x:c r="E110" s="68"/>
      <x:c r="F110" s="68"/>
      <x:c r="G110" s="68"/>
      <x:c r="H110" s="68"/>
      <x:c r="I110" s="68"/>
      <x:c r="J110" s="68"/>
      <x:c r="K110" s="68"/>
      <x:c r="L110" s="68"/>
      <x:c r="M110" s="68"/>
      <x:c r="N110" s="68"/>
      <x:c r="O110" s="68"/>
      <x:c r="P110" s="68"/>
      <x:c r="Q110" s="68"/>
      <x:c r="R110" s="68"/>
    </x:row>
    <x:row r="111" ht="15" hidden="0" customHeight="1">
      <x:c r="A111" s="68"/>
      <x:c r="B111" s="68"/>
      <x:c r="C111" s="68"/>
      <x:c r="D111" s="68"/>
      <x:c r="E111" s="68"/>
      <x:c r="F111" s="68"/>
      <x:c r="G111" s="68"/>
      <x:c r="H111" s="68"/>
      <x:c r="I111" s="68"/>
      <x:c r="J111" s="68"/>
      <x:c r="K111" s="68"/>
      <x:c r="L111" s="68"/>
      <x:c r="M111" s="68"/>
      <x:c r="N111" s="68"/>
      <x:c r="O111" s="68"/>
      <x:c r="P111" s="68"/>
      <x:c r="Q111" s="68"/>
      <x:c r="R111" s="68"/>
    </x:row>
    <x:row r="112" ht="15" hidden="0" customHeight="1">
      <x:c r="A112" s="68"/>
      <x:c r="B112" s="68"/>
      <x:c r="C112" s="68"/>
      <x:c r="D112" s="68"/>
      <x:c r="E112" s="68"/>
      <x:c r="F112" s="68"/>
      <x:c r="G112" s="68"/>
      <x:c r="H112" s="68"/>
      <x:c r="I112" s="68"/>
      <x:c r="J112" s="68"/>
      <x:c r="K112" s="68"/>
      <x:c r="L112" s="68"/>
      <x:c r="M112" s="68"/>
      <x:c r="N112" s="68"/>
      <x:c r="O112" s="68"/>
      <x:c r="P112" s="68"/>
      <x:c r="Q112" s="68"/>
      <x:c r="R112" s="68"/>
    </x:row>
    <x:row r="113" ht="15" hidden="0" customHeight="1">
      <x:c r="A113" s="68"/>
      <x:c r="B113" s="68"/>
      <x:c r="C113" s="68"/>
      <x:c r="D113" s="68"/>
      <x:c r="E113" s="68"/>
      <x:c r="F113" s="68"/>
      <x:c r="G113" s="68"/>
      <x:c r="H113" s="68"/>
      <x:c r="I113" s="68"/>
      <x:c r="J113" s="68"/>
      <x:c r="K113" s="68"/>
      <x:c r="L113" s="68"/>
      <x:c r="M113" s="68"/>
      <x:c r="N113" s="68"/>
      <x:c r="O113" s="68"/>
      <x:c r="P113" s="68"/>
      <x:c r="Q113" s="68"/>
      <x:c r="R113" s="68"/>
    </x:row>
    <x:row r="114" ht="15" hidden="0" customHeight="1">
      <x:c r="A114" s="68"/>
      <x:c r="B114" s="68"/>
      <x:c r="C114" s="68"/>
      <x:c r="D114" s="68"/>
      <x:c r="E114" s="68"/>
      <x:c r="F114" s="68"/>
      <x:c r="G114" s="68"/>
      <x:c r="H114" s="68"/>
      <x:c r="I114" s="68"/>
      <x:c r="J114" s="68"/>
      <x:c r="K114" s="68"/>
      <x:c r="L114" s="68"/>
      <x:c r="M114" s="68"/>
      <x:c r="N114" s="68"/>
      <x:c r="O114" s="68"/>
      <x:c r="P114" s="68"/>
      <x:c r="Q114" s="68"/>
      <x:c r="R114" s="68"/>
    </x:row>
    <x:row r="115" ht="15" hidden="0" customHeight="1">
      <x:c r="A115" s="68"/>
      <x:c r="B115" s="68"/>
      <x:c r="C115" s="68"/>
      <x:c r="D115" s="68"/>
      <x:c r="E115" s="68"/>
      <x:c r="F115" s="68"/>
      <x:c r="G115" s="68"/>
      <x:c r="H115" s="68"/>
      <x:c r="I115" s="68"/>
      <x:c r="J115" s="68"/>
      <x:c r="K115" s="68"/>
      <x:c r="L115" s="68"/>
      <x:c r="M115" s="68"/>
      <x:c r="N115" s="68"/>
      <x:c r="O115" s="68"/>
      <x:c r="P115" s="68"/>
      <x:c r="Q115" s="68"/>
      <x:c r="R115" s="68"/>
    </x:row>
    <x:row r="116" ht="15" hidden="0" customHeight="1">
      <x:c r="A116" s="68"/>
      <x:c r="B116" s="68"/>
      <x:c r="C116" s="68"/>
      <x:c r="D116" s="68"/>
      <x:c r="E116" s="68"/>
      <x:c r="F116" s="68"/>
      <x:c r="G116" s="68"/>
      <x:c r="H116" s="68"/>
      <x:c r="I116" s="68"/>
      <x:c r="J116" s="68"/>
      <x:c r="K116" s="68"/>
      <x:c r="L116" s="68"/>
      <x:c r="M116" s="68"/>
      <x:c r="N116" s="68"/>
      <x:c r="O116" s="68"/>
      <x:c r="P116" s="68"/>
      <x:c r="Q116" s="68"/>
      <x:c r="R116" s="68"/>
    </x:row>
    <x:row r="117" ht="15" hidden="0" customHeight="1">
      <x:c r="A117" s="68"/>
      <x:c r="B117" s="68"/>
      <x:c r="C117" s="68"/>
      <x:c r="D117" s="68"/>
      <x:c r="E117" s="68"/>
      <x:c r="F117" s="68"/>
      <x:c r="G117" s="68"/>
      <x:c r="H117" s="68"/>
      <x:c r="I117" s="68"/>
      <x:c r="J117" s="68"/>
      <x:c r="K117" s="68"/>
      <x:c r="L117" s="68"/>
      <x:c r="M117" s="68"/>
      <x:c r="N117" s="68"/>
      <x:c r="O117" s="68"/>
      <x:c r="P117" s="68"/>
      <x:c r="Q117" s="68"/>
      <x:c r="R117" s="68"/>
    </x:row>
    <x:row r="118" ht="15" hidden="0" customHeight="1">
      <x:c r="A118" s="68"/>
      <x:c r="B118" s="68"/>
      <x:c r="C118" s="68"/>
      <x:c r="D118" s="68"/>
      <x:c r="E118" s="68"/>
      <x:c r="F118" s="68"/>
      <x:c r="G118" s="68"/>
      <x:c r="H118" s="68"/>
      <x:c r="I118" s="68"/>
      <x:c r="J118" s="68"/>
      <x:c r="K118" s="68"/>
      <x:c r="L118" s="68"/>
      <x:c r="M118" s="68"/>
      <x:c r="N118" s="68"/>
      <x:c r="O118" s="68"/>
      <x:c r="P118" s="68"/>
      <x:c r="Q118" s="68"/>
      <x:c r="R118" s="68"/>
    </x:row>
    <x:row r="119" ht="15" hidden="0" customHeight="1">
      <x:c r="A119" s="68"/>
      <x:c r="B119" s="68"/>
      <x:c r="C119" s="68"/>
      <x:c r="D119" s="68"/>
      <x:c r="E119" s="68"/>
      <x:c r="F119" s="68"/>
      <x:c r="G119" s="68"/>
      <x:c r="H119" s="68"/>
      <x:c r="I119" s="68"/>
      <x:c r="J119" s="68"/>
      <x:c r="K119" s="68"/>
      <x:c r="L119" s="68"/>
      <x:c r="M119" s="68"/>
      <x:c r="N119" s="68"/>
      <x:c r="O119" s="68"/>
      <x:c r="P119" s="68"/>
      <x:c r="Q119" s="68"/>
      <x:c r="R119" s="68"/>
    </x:row>
    <x:row r="120" ht="15" hidden="0" customHeight="1">
      <x:c r="A120" s="68"/>
      <x:c r="B120" s="68"/>
      <x:c r="C120" s="68"/>
      <x:c r="D120" s="68"/>
      <x:c r="E120" s="68"/>
      <x:c r="F120" s="68"/>
      <x:c r="G120" s="68"/>
      <x:c r="H120" s="68"/>
      <x:c r="I120" s="68"/>
      <x:c r="J120" s="68"/>
      <x:c r="K120" s="68"/>
      <x:c r="L120" s="68"/>
      <x:c r="M120" s="68"/>
      <x:c r="N120" s="68"/>
      <x:c r="O120" s="68"/>
      <x:c r="P120" s="68"/>
      <x:c r="Q120" s="68"/>
      <x:c r="R120" s="68"/>
    </x:row>
  </x:sheetData>
  <x:mergeCells>
    <x:mergeCell ref="C2:R2"/>
    <x:mergeCell ref="C3:R3"/>
    <x:mergeCell ref="C7:R7"/>
    <x:mergeCell ref="C15:R15"/>
    <x:mergeCell ref="C20:R20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4" hidden="0" customWidth="1"/>
    <x:col min="4" max="4" width="12" hidden="0" customWidth="1"/>
    <x:col min="5" max="5" width="48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</x:cols>
  <x:sheetData>
    <x:row r="1" ht="15" hidden="0" customHeight="1">
      <x:c r="A1" s="68"/>
      <x:c r="B1" s="68"/>
      <x:c r="C1" s="68"/>
      <x:c r="D1" s="68"/>
      <x:c r="E1" s="68"/>
      <x:c r="F1" s="68"/>
      <x:c r="G1" s="68"/>
      <x:c r="H1" s="68"/>
      <x:c r="I1" s="68"/>
      <x:c r="J1" s="68"/>
      <x:c r="K1" s="68"/>
      <x:c r="L1" s="68"/>
      <x:c r="M1" s="68"/>
      <x:c r="N1" s="68"/>
      <x:c r="O1" s="68"/>
      <x:c r="P1" s="68"/>
      <x:c r="Q1" s="68"/>
      <x:c r="R1" s="68"/>
      <x:c r="S1" s="68"/>
    </x:row>
    <x:row r="2" ht="24" hidden="0" customHeight="1">
      <x:c r="A2" s="68"/>
      <x:c r="B2" s="68"/>
      <x:c r="C2" s="69" t="str">
        <x:v>Debt and Investor Returns</x:v>
      </x:c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  <x:c r="S2" s="70"/>
    </x:row>
    <x:row r="3" ht="24" hidden="0" customHeight="1">
      <x:c r="A3" s="68"/>
      <x:c r="B3" s="68"/>
      <x:c r="C3" s="71" t="str">
        <x:v>Bank return is contractual. Rupiah schedules display in billions; Year 1 requires a funded debt-service reserve.</x:v>
      </x:c>
      <x:c r="D3" s="68"/>
      <x:c r="E3" s="68"/>
      <x:c r="F3" s="68"/>
      <x:c r="G3" s="68"/>
      <x:c r="H3" s="68"/>
      <x:c r="I3" s="68"/>
      <x:c r="J3" s="68"/>
      <x:c r="K3" s="68"/>
      <x:c r="L3" s="68"/>
      <x:c r="M3" s="68"/>
      <x:c r="N3" s="68"/>
      <x:c r="O3" s="68"/>
      <x:c r="P3" s="68"/>
      <x:c r="Q3" s="68"/>
      <x:c r="R3" s="68"/>
      <x:c r="S3" s="68"/>
    </x:row>
    <x:row r="4" ht="15" hidden="0" customHeight="1">
      <x:c r="A4" s="68"/>
      <x:c r="B4" s="68"/>
      <x:c r="C4" s="68"/>
      <x:c r="D4" s="68"/>
      <x:c r="E4" s="68"/>
      <x:c r="F4" s="68"/>
      <x:c r="G4" s="68"/>
      <x:c r="H4" s="68"/>
      <x:c r="I4" s="68"/>
      <x:c r="J4" s="68"/>
      <x:c r="K4" s="68"/>
      <x:c r="L4" s="68"/>
      <x:c r="M4" s="68"/>
      <x:c r="N4" s="68"/>
      <x:c r="O4" s="68"/>
      <x:c r="P4" s="68"/>
      <x:c r="Q4" s="68"/>
      <x:c r="R4" s="68"/>
      <x:c r="S4" s="68"/>
    </x:row>
    <x:row r="5" ht="15" hidden="0" customHeight="1">
      <x:c r="A5" s="68"/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  <x:c r="S5" s="68"/>
    </x:row>
    <x:row r="6" ht="15" hidden="0" customHeight="1">
      <x:c r="A6" s="68"/>
      <x:c r="B6" s="68"/>
      <x:c r="C6" s="19" t="str">
        <x:v>Timeline</x:v>
      </x:c>
      <x:c r="D6" s="19" t="str">
        <x:v>Year 0</x:v>
      </x:c>
      <x:c r="E6" s="19" t="str">
        <x:v>Year 1</x:v>
      </x:c>
      <x:c r="F6" s="19" t="str">
        <x:v>Year 2</x:v>
      </x:c>
      <x:c r="G6" s="19" t="str">
        <x:v>Year 3</x:v>
      </x:c>
      <x:c r="H6" s="19" t="str">
        <x:v>Year 4</x:v>
      </x:c>
      <x:c r="I6" s="19" t="str">
        <x:v>Year 5</x:v>
      </x:c>
      <x:c r="J6" s="19" t="str">
        <x:v>Year 6</x:v>
      </x:c>
      <x:c r="K6" s="19" t="str">
        <x:v>Year 7</x:v>
      </x:c>
      <x:c r="L6" s="19" t="str">
        <x:v>Year 8</x:v>
      </x:c>
      <x:c r="M6" s="19" t="str">
        <x:v>Year 9</x:v>
      </x:c>
      <x:c r="N6" s="19" t="str">
        <x:v>Year 10</x:v>
      </x:c>
      <x:c r="O6" s="19" t="str">
        <x:v>Year 11</x:v>
      </x:c>
      <x:c r="P6" s="19" t="str">
        <x:v>Year 12</x:v>
      </x:c>
      <x:c r="Q6" s="19" t="str">
        <x:v>Year 13</x:v>
      </x:c>
      <x:c r="R6" s="19" t="str">
        <x:v>Year 14</x:v>
      </x:c>
      <x:c r="S6" s="19" t="str">
        <x:v>Year 15</x:v>
      </x:c>
    </x:row>
    <x:row r="7" ht="15" hidden="0" customHeight="1">
      <x:c r="A7" s="68"/>
      <x:c r="B7" s="68"/>
      <x:c r="C7" s="68"/>
      <x:c r="D7" s="68"/>
      <x:c r="E7" s="68"/>
      <x:c r="F7" s="68"/>
      <x:c r="G7" s="68"/>
      <x:c r="H7" s="68"/>
      <x:c r="I7" s="68"/>
      <x:c r="J7" s="68"/>
      <x:c r="K7" s="68"/>
      <x:c r="L7" s="68"/>
      <x:c r="M7" s="68"/>
      <x:c r="N7" s="68"/>
      <x:c r="O7" s="68"/>
      <x:c r="P7" s="68"/>
      <x:c r="Q7" s="68"/>
      <x:c r="R7" s="68"/>
      <x:c r="S7" s="68"/>
    </x:row>
    <x:row r="8" ht="15" hidden="0" customHeight="1">
      <x:c r="A8" s="68"/>
      <x:c r="B8" s="68"/>
      <x:c r="C8" s="11" t="str">
        <x:v>Sources and Uses</x:v>
      </x:c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3"/>
    </x:row>
    <x:row r="9" ht="15" hidden="0" customHeight="1">
      <x:c r="A9" s="68"/>
      <x:c r="B9" s="68"/>
      <x:c r="C9" s="68" t="str">
        <x:v>Land economic value</x:v>
      </x:c>
      <x:c r="D9" s="101" t="n">
        <x:f>'Attractions'!$E$14</x:f>
        <x:v>32500000000</x:v>
      </x:c>
      <x:c r="E9" s="68"/>
      <x:c r="F9" s="68"/>
      <x:c r="G9" s="68"/>
      <x:c r="H9" s="68"/>
      <x:c r="I9" s="68"/>
      <x:c r="J9" s="68"/>
      <x:c r="K9" s="68"/>
      <x:c r="L9" s="68"/>
      <x:c r="M9" s="68"/>
      <x:c r="N9" s="68"/>
      <x:c r="O9" s="68"/>
      <x:c r="P9" s="68"/>
      <x:c r="Q9" s="68"/>
      <x:c r="R9" s="68"/>
      <x:c r="S9" s="68"/>
    </x:row>
    <x:row r="10" ht="15" hidden="0" customHeight="1">
      <x:c r="A10" s="68"/>
      <x:c r="B10" s="68"/>
      <x:c r="C10" s="68" t="str">
        <x:v>Cash CAPEX</x:v>
      </x:c>
      <x:c r="D10" s="101" t="n">
        <x:f>('Attractions'!$F$14+'Assumptions'!$D$55)*'Assumptions'!$H$14</x:f>
        <x:v>29000000000</x:v>
      </x:c>
      <x:c r="E10" s="68"/>
      <x:c r="F10" s="68"/>
      <x:c r="G10" s="68"/>
      <x:c r="H10" s="68"/>
      <x:c r="I10" s="68"/>
      <x:c r="J10" s="68"/>
      <x:c r="K10" s="68"/>
      <x:c r="L10" s="68"/>
      <x:c r="M10" s="68"/>
      <x:c r="N10" s="68"/>
      <x:c r="O10" s="68"/>
      <x:c r="P10" s="68"/>
      <x:c r="Q10" s="68"/>
      <x:c r="R10" s="68"/>
      <x:c r="S10" s="68"/>
    </x:row>
    <x:row r="11" ht="15" hidden="0" customHeight="1">
      <x:c r="A11" s="68"/>
      <x:c r="B11" s="68"/>
      <x:c r="C11" s="68" t="str">
        <x:v>Bank debt</x:v>
      </x:c>
      <x:c r="D11" s="101" t="n">
        <x:f>D10*'Assumptions'!$D$44</x:f>
        <x:v>17400000000</x:v>
      </x:c>
      <x:c r="E11" s="68"/>
      <x:c r="F11" s="68"/>
      <x:c r="G11" s="68"/>
      <x:c r="H11" s="68"/>
      <x:c r="I11" s="68"/>
      <x:c r="J11" s="68"/>
      <x:c r="K11" s="68"/>
      <x:c r="L11" s="68"/>
      <x:c r="M11" s="68"/>
      <x:c r="N11" s="68"/>
      <x:c r="O11" s="68"/>
      <x:c r="P11" s="68"/>
      <x:c r="Q11" s="68"/>
      <x:c r="R11" s="68"/>
      <x:c r="S11" s="68"/>
    </x:row>
    <x:row r="12" ht="15" hidden="0" customHeight="1">
      <x:c r="A12" s="68"/>
      <x:c r="B12" s="68"/>
      <x:c r="C12" s="68" t="str">
        <x:v>Equity funding</x:v>
      </x:c>
      <x:c r="D12" s="101" t="n">
        <x:f>D10-D11</x:f>
        <x:v>11600000000</x:v>
      </x:c>
      <x:c r="E12" s="68"/>
      <x:c r="F12" s="68"/>
      <x:c r="G12" s="68"/>
      <x:c r="H12" s="68"/>
      <x:c r="I12" s="68"/>
      <x:c r="J12" s="68"/>
      <x:c r="K12" s="68"/>
      <x:c r="L12" s="68"/>
      <x:c r="M12" s="68"/>
      <x:c r="N12" s="68"/>
      <x:c r="O12" s="68"/>
      <x:c r="P12" s="68"/>
      <x:c r="Q12" s="68"/>
      <x:c r="R12" s="68"/>
      <x:c r="S12" s="68"/>
    </x:row>
    <x:row r="13" ht="15" hidden="0" customHeight="1">
      <x:c r="A13" s="68"/>
      <x:c r="B13" s="68"/>
      <x:c r="C13" s="68"/>
      <x:c r="D13" s="68"/>
      <x:c r="E13" s="68"/>
      <x:c r="F13" s="68"/>
      <x:c r="G13" s="68"/>
      <x:c r="H13" s="68"/>
      <x:c r="I13" s="68"/>
      <x:c r="J13" s="68"/>
      <x:c r="K13" s="68"/>
      <x:c r="L13" s="68"/>
      <x:c r="M13" s="68"/>
      <x:c r="N13" s="68"/>
      <x:c r="O13" s="68"/>
      <x:c r="P13" s="68"/>
      <x:c r="Q13" s="68"/>
      <x:c r="R13" s="68"/>
      <x:c r="S13" s="68"/>
    </x:row>
    <x:row r="14" ht="15" hidden="0" customHeight="1">
      <x:c r="A14" s="68"/>
      <x:c r="B14" s="68"/>
      <x:c r="C14" s="11" t="str">
        <x:v>Debt Schedule</x:v>
      </x:c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  <x:c r="S14" s="13"/>
    </x:row>
    <x:row r="15" ht="15" hidden="0" customHeight="1">
      <x:c r="A15" s="68"/>
      <x:c r="B15" s="68"/>
      <x:c r="C15" s="68" t="str">
        <x:v>Opening debt</x:v>
      </x:c>
      <x:c r="D15" s="101" t="n">
        <x:v>0</x:v>
      </x:c>
      <x:c r="E15" s="101" t="n">
        <x:f>$D$11</x:f>
        <x:v>17400000000</x:v>
      </x:c>
      <x:c r="F15" s="101" t="n">
        <x:f>E19</x:f>
        <x:v>17400000000</x:v>
      </x:c>
      <x:c r="G15" s="101" t="n">
        <x:f>F19</x:f>
        <x:v>17400000000</x:v>
      </x:c>
      <x:c r="H15" s="101" t="n">
        <x:f>G19</x:f>
        <x:v>15225000000</x:v>
      </x:c>
      <x:c r="I15" s="101" t="n">
        <x:f>H19</x:f>
        <x:v>13050000000</x:v>
      </x:c>
      <x:c r="J15" s="101" t="n">
        <x:f>I19</x:f>
        <x:v>10875000000</x:v>
      </x:c>
      <x:c r="K15" s="101" t="n">
        <x:f>J19</x:f>
        <x:v>8700000000</x:v>
      </x:c>
      <x:c r="L15" s="101" t="n">
        <x:f>K19</x:f>
        <x:v>6525000000</x:v>
      </x:c>
      <x:c r="M15" s="101" t="n">
        <x:f>L19</x:f>
        <x:v>4350000000</x:v>
      </x:c>
      <x:c r="N15" s="101" t="n">
        <x:f>M19</x:f>
        <x:v>2175000000</x:v>
      </x:c>
      <x:c r="O15" s="101" t="n">
        <x:f>N19</x:f>
        <x:v>0</x:v>
      </x:c>
      <x:c r="P15" s="101" t="n">
        <x:f>O19</x:f>
        <x:v>0</x:v>
      </x:c>
      <x:c r="Q15" s="101" t="n">
        <x:f>P19</x:f>
        <x:v>0</x:v>
      </x:c>
      <x:c r="R15" s="101" t="n">
        <x:f>Q19</x:f>
        <x:v>0</x:v>
      </x:c>
      <x:c r="S15" s="101" t="n">
        <x:f>R19</x:f>
        <x:v>0</x:v>
      </x:c>
    </x:row>
    <x:row r="16" ht="15" hidden="0" customHeight="1">
      <x:c r="A16" s="68"/>
      <x:c r="B16" s="68"/>
      <x:c r="C16" s="68" t="str">
        <x:v>Interest</x:v>
      </x:c>
      <x:c r="D16" s="101" t="n">
        <x:v>0</x:v>
      </x:c>
      <x:c r="E16" s="101" t="n">
        <x:f>E15*'Assumptions'!$D$45</x:f>
        <x:v>1827000000</x:v>
      </x:c>
      <x:c r="F16" s="101" t="n">
        <x:f>F15*'Assumptions'!$D$45</x:f>
        <x:v>1827000000</x:v>
      </x:c>
      <x:c r="G16" s="101" t="n">
        <x:f>G15*'Assumptions'!$D$45</x:f>
        <x:v>1827000000</x:v>
      </x:c>
      <x:c r="H16" s="101" t="n">
        <x:f>H15*'Assumptions'!$D$45</x:f>
        <x:v>1598625000</x:v>
      </x:c>
      <x:c r="I16" s="101" t="n">
        <x:f>I15*'Assumptions'!$D$45</x:f>
        <x:v>1370250000</x:v>
      </x:c>
      <x:c r="J16" s="101" t="n">
        <x:f>J15*'Assumptions'!$D$45</x:f>
        <x:v>1141875000</x:v>
      </x:c>
      <x:c r="K16" s="101" t="n">
        <x:f>K15*'Assumptions'!$D$45</x:f>
        <x:v>913500000</x:v>
      </x:c>
      <x:c r="L16" s="101" t="n">
        <x:f>L15*'Assumptions'!$D$45</x:f>
        <x:v>685125000</x:v>
      </x:c>
      <x:c r="M16" s="101" t="n">
        <x:f>M15*'Assumptions'!$D$45</x:f>
        <x:v>456750000</x:v>
      </x:c>
      <x:c r="N16" s="101" t="n">
        <x:f>N15*'Assumptions'!$D$45</x:f>
        <x:v>228375000</x:v>
      </x:c>
      <x:c r="O16" s="101" t="n">
        <x:f>O15*'Assumptions'!$D$45</x:f>
        <x:v>0</x:v>
      </x:c>
      <x:c r="P16" s="101" t="n">
        <x:f>P15*'Assumptions'!$D$45</x:f>
        <x:v>0</x:v>
      </x:c>
      <x:c r="Q16" s="101" t="n">
        <x:f>Q15*'Assumptions'!$D$45</x:f>
        <x:v>0</x:v>
      </x:c>
      <x:c r="R16" s="101" t="n">
        <x:f>R15*'Assumptions'!$D$45</x:f>
        <x:v>0</x:v>
      </x:c>
      <x:c r="S16" s="101" t="n">
        <x:f>S15*'Assumptions'!$D$45</x:f>
        <x:v>0</x:v>
      </x:c>
    </x:row>
    <x:row r="17" ht="15" hidden="0" customHeight="1">
      <x:c r="A17" s="68"/>
      <x:c r="B17" s="68"/>
      <x:c r="C17" s="68" t="str">
        <x:v>Principal</x:v>
      </x:c>
      <x:c r="D17" s="101" t="n">
        <x:v>0</x:v>
      </x:c>
      <x:c r="E17" s="101" t="n">
        <x:f>IF(AND(1&gt;'Assumptions'!$D$47,1&lt;='Assumptions'!$D$46),MIN(E15,$D$11/('Assumptions'!$D$46-'Assumptions'!$D$47)),0)</x:f>
        <x:v>0</x:v>
      </x:c>
      <x:c r="F17" s="101" t="n">
        <x:f>IF(AND(2&gt;'Assumptions'!$D$47,2&lt;='Assumptions'!$D$46),MIN(F15,$D$11/('Assumptions'!$D$46-'Assumptions'!$D$47)),0)</x:f>
        <x:v>0</x:v>
      </x:c>
      <x:c r="G17" s="101" t="n">
        <x:f>IF(AND(3&gt;'Assumptions'!$D$47,3&lt;='Assumptions'!$D$46),MIN(G15,$D$11/('Assumptions'!$D$46-'Assumptions'!$D$47)),0)</x:f>
        <x:v>2175000000</x:v>
      </x:c>
      <x:c r="H17" s="101" t="n">
        <x:f>IF(AND(4&gt;'Assumptions'!$D$47,4&lt;='Assumptions'!$D$46),MIN(H15,$D$11/('Assumptions'!$D$46-'Assumptions'!$D$47)),0)</x:f>
        <x:v>2175000000</x:v>
      </x:c>
      <x:c r="I17" s="101" t="n">
        <x:f>IF(AND(5&gt;'Assumptions'!$D$47,5&lt;='Assumptions'!$D$46),MIN(I15,$D$11/('Assumptions'!$D$46-'Assumptions'!$D$47)),0)</x:f>
        <x:v>2175000000</x:v>
      </x:c>
      <x:c r="J17" s="101" t="n">
        <x:f>IF(AND(6&gt;'Assumptions'!$D$47,6&lt;='Assumptions'!$D$46),MIN(J15,$D$11/('Assumptions'!$D$46-'Assumptions'!$D$47)),0)</x:f>
        <x:v>2175000000</x:v>
      </x:c>
      <x:c r="K17" s="101" t="n">
        <x:f>IF(AND(7&gt;'Assumptions'!$D$47,7&lt;='Assumptions'!$D$46),MIN(K15,$D$11/('Assumptions'!$D$46-'Assumptions'!$D$47)),0)</x:f>
        <x:v>2175000000</x:v>
      </x:c>
      <x:c r="L17" s="101" t="n">
        <x:f>IF(AND(8&gt;'Assumptions'!$D$47,8&lt;='Assumptions'!$D$46),MIN(L15,$D$11/('Assumptions'!$D$46-'Assumptions'!$D$47)),0)</x:f>
        <x:v>2175000000</x:v>
      </x:c>
      <x:c r="M17" s="101" t="n">
        <x:f>IF(AND(9&gt;'Assumptions'!$D$47,9&lt;='Assumptions'!$D$46),MIN(M15,$D$11/('Assumptions'!$D$46-'Assumptions'!$D$47)),0)</x:f>
        <x:v>2175000000</x:v>
      </x:c>
      <x:c r="N17" s="101" t="n">
        <x:f>IF(AND(10&gt;'Assumptions'!$D$47,10&lt;='Assumptions'!$D$46),MIN(N15,$D$11/('Assumptions'!$D$46-'Assumptions'!$D$47)),0)</x:f>
        <x:v>2175000000</x:v>
      </x:c>
      <x:c r="O17" s="101" t="n">
        <x:f>IF(AND(11&gt;'Assumptions'!$D$47,11&lt;='Assumptions'!$D$46),MIN(O15,$D$11/('Assumptions'!$D$46-'Assumptions'!$D$47)),0)</x:f>
        <x:v>0</x:v>
      </x:c>
      <x:c r="P17" s="101" t="n">
        <x:f>IF(AND(12&gt;'Assumptions'!$D$47,12&lt;='Assumptions'!$D$46),MIN(P15,$D$11/('Assumptions'!$D$46-'Assumptions'!$D$47)),0)</x:f>
        <x:v>0</x:v>
      </x:c>
      <x:c r="Q17" s="101" t="n">
        <x:f>IF(AND(13&gt;'Assumptions'!$D$47,13&lt;='Assumptions'!$D$46),MIN(Q15,$D$11/('Assumptions'!$D$46-'Assumptions'!$D$47)),0)</x:f>
        <x:v>0</x:v>
      </x:c>
      <x:c r="R17" s="101" t="n">
        <x:f>IF(AND(14&gt;'Assumptions'!$D$47,14&lt;='Assumptions'!$D$46),MIN(R15,$D$11/('Assumptions'!$D$46-'Assumptions'!$D$47)),0)</x:f>
        <x:v>0</x:v>
      </x:c>
      <x:c r="S17" s="101" t="n">
        <x:f>IF(AND(15&gt;'Assumptions'!$D$47,15&lt;='Assumptions'!$D$46),MIN(S15,$D$11/('Assumptions'!$D$46-'Assumptions'!$D$47)),0)</x:f>
        <x:v>0</x:v>
      </x:c>
    </x:row>
    <x:row r="18" ht="15" hidden="0" customHeight="1">
      <x:c r="A18" s="68"/>
      <x:c r="B18" s="68"/>
      <x:c r="C18" s="68" t="str">
        <x:v>Debt service</x:v>
      </x:c>
      <x:c r="D18" s="101" t="n">
        <x:v>0</x:v>
      </x:c>
      <x:c r="E18" s="101" t="n">
        <x:f>SUM(E16:E17)</x:f>
        <x:v>1827000000</x:v>
      </x:c>
      <x:c r="F18" s="101" t="n">
        <x:f>SUM(F16:F17)</x:f>
        <x:v>1827000000</x:v>
      </x:c>
      <x:c r="G18" s="101" t="n">
        <x:f>SUM(G16:G17)</x:f>
        <x:v>4002000000</x:v>
      </x:c>
      <x:c r="H18" s="101" t="n">
        <x:f>SUM(H16:H17)</x:f>
        <x:v>3773625000</x:v>
      </x:c>
      <x:c r="I18" s="101" t="n">
        <x:f>SUM(I16:I17)</x:f>
        <x:v>3545250000</x:v>
      </x:c>
      <x:c r="J18" s="101" t="n">
        <x:f>SUM(J16:J17)</x:f>
        <x:v>3316875000</x:v>
      </x:c>
      <x:c r="K18" s="101" t="n">
        <x:f>SUM(K16:K17)</x:f>
        <x:v>3088500000</x:v>
      </x:c>
      <x:c r="L18" s="101" t="n">
        <x:f>SUM(L16:L17)</x:f>
        <x:v>2860125000</x:v>
      </x:c>
      <x:c r="M18" s="101" t="n">
        <x:f>SUM(M16:M17)</x:f>
        <x:v>2631750000</x:v>
      </x:c>
      <x:c r="N18" s="101" t="n">
        <x:f>SUM(N16:N17)</x:f>
        <x:v>2403375000</x:v>
      </x:c>
      <x:c r="O18" s="101" t="n">
        <x:f>SUM(O16:O17)</x:f>
        <x:v>0</x:v>
      </x:c>
      <x:c r="P18" s="101" t="n">
        <x:f>SUM(P16:P17)</x:f>
        <x:v>0</x:v>
      </x:c>
      <x:c r="Q18" s="101" t="n">
        <x:f>SUM(Q16:Q17)</x:f>
        <x:v>0</x:v>
      </x:c>
      <x:c r="R18" s="101" t="n">
        <x:f>SUM(R16:R17)</x:f>
        <x:v>0</x:v>
      </x:c>
      <x:c r="S18" s="101" t="n">
        <x:f>SUM(S16:S17)</x:f>
        <x:v>0</x:v>
      </x:c>
    </x:row>
    <x:row r="19" ht="15" hidden="0" customHeight="1">
      <x:c r="A19" s="68"/>
      <x:c r="B19" s="68"/>
      <x:c r="C19" s="68" t="str">
        <x:v>Ending debt</x:v>
      </x:c>
      <x:c r="D19" s="101" t="n">
        <x:v>0</x:v>
      </x:c>
      <x:c r="E19" s="101" t="n">
        <x:f>MAX(0,E15-E17)</x:f>
        <x:v>17400000000</x:v>
      </x:c>
      <x:c r="F19" s="101" t="n">
        <x:f>MAX(0,F15-F17)</x:f>
        <x:v>17400000000</x:v>
      </x:c>
      <x:c r="G19" s="101" t="n">
        <x:f>MAX(0,G15-G17)</x:f>
        <x:v>15225000000</x:v>
      </x:c>
      <x:c r="H19" s="101" t="n">
        <x:f>MAX(0,H15-H17)</x:f>
        <x:v>13050000000</x:v>
      </x:c>
      <x:c r="I19" s="101" t="n">
        <x:f>MAX(0,I15-I17)</x:f>
        <x:v>10875000000</x:v>
      </x:c>
      <x:c r="J19" s="101" t="n">
        <x:f>MAX(0,J15-J17)</x:f>
        <x:v>8700000000</x:v>
      </x:c>
      <x:c r="K19" s="101" t="n">
        <x:f>MAX(0,K15-K17)</x:f>
        <x:v>6525000000</x:v>
      </x:c>
      <x:c r="L19" s="101" t="n">
        <x:f>MAX(0,L15-L17)</x:f>
        <x:v>4350000000</x:v>
      </x:c>
      <x:c r="M19" s="101" t="n">
        <x:f>MAX(0,M15-M17)</x:f>
        <x:v>2175000000</x:v>
      </x:c>
      <x:c r="N19" s="101" t="n">
        <x:f>MAX(0,N15-N17)</x:f>
        <x:v>0</x:v>
      </x:c>
      <x:c r="O19" s="101" t="n">
        <x:f>MAX(0,O15-O17)</x:f>
        <x:v>0</x:v>
      </x:c>
      <x:c r="P19" s="101" t="n">
        <x:f>MAX(0,P15-P17)</x:f>
        <x:v>0</x:v>
      </x:c>
      <x:c r="Q19" s="101" t="n">
        <x:f>MAX(0,Q15-Q17)</x:f>
        <x:v>0</x:v>
      </x:c>
      <x:c r="R19" s="101" t="n">
        <x:f>MAX(0,R15-R17)</x:f>
        <x:v>0</x:v>
      </x:c>
      <x:c r="S19" s="101" t="n">
        <x:f>MAX(0,S15-S17)</x:f>
        <x:v>0</x:v>
      </x:c>
    </x:row>
    <x:row r="20" ht="15" hidden="0" customHeight="1">
      <x:c r="A20" s="68"/>
      <x:c r="B20" s="68"/>
      <x:c r="C20" s="68" t="str">
        <x:v>CFADS</x:v>
      </x:c>
      <x:c r="D20" s="101" t="n">
        <x:v>0</x:v>
      </x:c>
      <x:c r="E20" s="101" t="n">
        <x:f>'Operating Model'!D35</x:f>
        <x:v>624904490.8800001</x:v>
      </x:c>
      <x:c r="F20" s="101" t="n">
        <x:f>'Operating Model'!E35</x:f>
        <x:v>3104134400.0307198</x:v>
      </x:c>
      <x:c r="G20" s="101" t="n">
        <x:f>'Operating Model'!F35</x:f>
        <x:v>5605540126.036256</x:v>
      </x:c>
      <x:c r="H20" s="101" t="n">
        <x:f>'Operating Model'!G35</x:f>
        <x:v>8105654565.433761</x:v>
      </x:c>
      <x:c r="I20" s="101" t="n">
        <x:f>'Operating Model'!H35</x:f>
        <x:v>9979564157.756168</x:v>
      </x:c>
      <x:c r="J20" s="101" t="n">
        <x:f>'Operating Model'!I35</x:f>
        <x:v>11292607104.672913</x:v>
      </x:c>
      <x:c r="K20" s="101" t="n">
        <x:f>'Operating Model'!J35</x:f>
        <x:v>11759171988.288418</x:v>
      </x:c>
      <x:c r="L20" s="101" t="n">
        <x:f>'Operating Model'!K35</x:f>
        <x:v>12220919174.9969</x:v>
      </x:c>
      <x:c r="M20" s="101" t="n">
        <x:f>'Operating Model'!L35</x:f>
        <x:v>12686433405.15168</x:v>
      </x:c>
      <x:c r="N20" s="101" t="n">
        <x:f>'Operating Model'!M35</x:f>
        <x:v>13166706075.938395</x:v>
      </x:c>
      <x:c r="O20" s="101" t="n">
        <x:f>'Operating Model'!N35</x:f>
        <x:v>13662743697.438778</x:v>
      </x:c>
      <x:c r="P20" s="101" t="n">
        <x:f>'Operating Model'!O35</x:f>
        <x:v>14225099342.862288</x:v>
      </x:c>
      <x:c r="Q20" s="101" t="n">
        <x:f>'Operating Model'!P35</x:f>
        <x:v>14803839229.80724</x:v>
      </x:c>
      <x:c r="R20" s="101" t="n">
        <x:f>'Operating Model'!Q35</x:f>
        <x:v>15399269550.031315</x:v>
      </x:c>
      <x:c r="S20" s="101" t="n">
        <x:f>'Operating Model'!R35</x:f>
        <x:v>16011693247.49979</x:v>
      </x:c>
    </x:row>
    <x:row r="21" ht="15" hidden="0" customHeight="1">
      <x:c r="A21" s="68"/>
      <x:c r="B21" s="68"/>
      <x:c r="C21" s="68" t="str">
        <x:v>DSCR</x:v>
      </x:c>
      <x:c r="D21" s="68" t="n">
        <x:v>0</x:v>
      </x:c>
      <x:c r="E21" s="110" t="n">
        <x:f>IF(E18=0,"",E20/E18)</x:f>
        <x:v>0.3420385828571429</x:v>
      </x:c>
      <x:c r="F21" s="110" t="n">
        <x:f>IF(F18=0,"",F20/F18)</x:f>
        <x:v>1.6990336070228351</x:v>
      </x:c>
      <x:c r="G21" s="110" t="n">
        <x:f>IF(G18=0,"",G20/G18)</x:f>
        <x:v>1.4006846891644817</x:v>
      </x:c>
      <x:c r="H21" s="110" t="n">
        <x:f>IF(H18=0,"",H20/H18)</x:f>
        <x:v>2.147975637598797</x:v>
      </x:c>
      <x:c r="I21" s="110" t="n">
        <x:f>IF(I18=0,"",I20/I18)</x:f>
        <x:v>2.814911263734904</x:v>
      </x:c>
      <x:c r="J21" s="110" t="n">
        <x:f>IF(J18=0,"",J20/J18)</x:f>
        <x:v>3.404592305912316</x:v>
      </x:c>
      <x:c r="K21" s="110" t="n">
        <x:f>IF(K18=0,"",K20/K18)</x:f>
        <x:v>3.8074055328762886</x:v>
      </x:c>
      <x:c r="L21" s="110" t="n">
        <x:f>IF(L18=0,"",L20/L18)</x:f>
        <x:v>4.272861911628652</x:v>
      </x:c>
      <x:c r="M21" s="110" t="n">
        <x:f>IF(M18=0,"",M20/M18)</x:f>
        <x:v>4.8205313594192765</x:v>
      </x:c>
      <x:c r="N21" s="110" t="n">
        <x:f>IF(N18=0,"",N20/N18)</x:f>
        <x:v>5.478423498596097</x:v>
      </x:c>
      <x:c r="O21" s="110" t="str">
        <x:f>IF(O18=0,"",O20/O18)</x:f>
      </x:c>
      <x:c r="P21" s="110" t="str">
        <x:f>IF(P18=0,"",P20/P18)</x:f>
      </x:c>
      <x:c r="Q21" s="110" t="str">
        <x:f>IF(Q18=0,"",Q20/Q18)</x:f>
      </x:c>
      <x:c r="R21" s="110" t="str">
        <x:f>IF(R18=0,"",R20/R18)</x:f>
      </x:c>
      <x:c r="S21" s="110" t="str">
        <x:f>IF(S18=0,"",S20/S18)</x:f>
      </x:c>
    </x:row>
    <x:row r="22" ht="15" hidden="0" customHeight="1">
      <x:c r="A22" s="68"/>
      <x:c r="B22" s="68"/>
      <x:c r="C22" s="68" t="str">
        <x:v>Startup reserve needed</x:v>
      </x:c>
      <x:c r="D22" s="101" t="n">
        <x:v>0</x:v>
      </x:c>
      <x:c r="E22" s="101" t="n">
        <x:f>IF(1&lt;='Assumptions'!$D$47,MAX(0,E18-E20),0)</x:f>
        <x:v>1202095509.12</x:v>
      </x:c>
      <x:c r="F22" s="101" t="n">
        <x:f>IF(2&lt;='Assumptions'!$D$47,MAX(0,F18-F20),0)</x:f>
        <x:v>0</x:v>
      </x:c>
      <x:c r="G22" s="101" t="n">
        <x:f>IF(3&lt;='Assumptions'!$D$47,MAX(0,G18-G20),0)</x:f>
        <x:v>0</x:v>
      </x:c>
      <x:c r="H22" s="101" t="n">
        <x:f>IF(4&lt;='Assumptions'!$D$47,MAX(0,H18-H20),0)</x:f>
        <x:v>0</x:v>
      </x:c>
      <x:c r="I22" s="101" t="n">
        <x:f>IF(5&lt;='Assumptions'!$D$47,MAX(0,I18-I20),0)</x:f>
        <x:v>0</x:v>
      </x:c>
      <x:c r="J22" s="101" t="n">
        <x:f>IF(6&lt;='Assumptions'!$D$47,MAX(0,J18-J20),0)</x:f>
        <x:v>0</x:v>
      </x:c>
      <x:c r="K22" s="101" t="n">
        <x:f>IF(7&lt;='Assumptions'!$D$47,MAX(0,K18-K20),0)</x:f>
        <x:v>0</x:v>
      </x:c>
      <x:c r="L22" s="101" t="n">
        <x:f>IF(8&lt;='Assumptions'!$D$47,MAX(0,L18-L20),0)</x:f>
        <x:v>0</x:v>
      </x:c>
      <x:c r="M22" s="101" t="n">
        <x:f>IF(9&lt;='Assumptions'!$D$47,MAX(0,M18-M20),0)</x:f>
        <x:v>0</x:v>
      </x:c>
      <x:c r="N22" s="101" t="n">
        <x:f>IF(10&lt;='Assumptions'!$D$47,MAX(0,N18-N20),0)</x:f>
        <x:v>0</x:v>
      </x:c>
      <x:c r="O22" s="101" t="n">
        <x:f>IF(11&lt;='Assumptions'!$D$47,MAX(0,O18-O20),0)</x:f>
        <x:v>0</x:v>
      </x:c>
      <x:c r="P22" s="101" t="n">
        <x:f>IF(12&lt;='Assumptions'!$D$47,MAX(0,P18-P20),0)</x:f>
        <x:v>0</x:v>
      </x:c>
      <x:c r="Q22" s="101" t="n">
        <x:f>IF(13&lt;='Assumptions'!$D$47,MAX(0,Q18-Q20),0)</x:f>
        <x:v>0</x:v>
      </x:c>
      <x:c r="R22" s="101" t="n">
        <x:f>IF(14&lt;='Assumptions'!$D$47,MAX(0,R18-R20),0)</x:f>
        <x:v>0</x:v>
      </x:c>
      <x:c r="S22" s="101" t="n">
        <x:f>IF(15&lt;='Assumptions'!$D$47,MAX(0,S18-S20),0)</x:f>
        <x:v>0</x:v>
      </x:c>
    </x:row>
    <x:row r="23" ht="15" hidden="0" customHeight="1">
      <x:c r="A23" s="68"/>
      <x:c r="B23" s="68"/>
      <x:c r="C23" s="68"/>
      <x:c r="D23" s="68"/>
      <x:c r="E23" s="68"/>
      <x:c r="F23" s="68"/>
      <x:c r="G23" s="68"/>
      <x:c r="H23" s="68"/>
      <x:c r="I23" s="68"/>
      <x:c r="J23" s="68"/>
      <x:c r="K23" s="68"/>
      <x:c r="L23" s="68"/>
      <x:c r="M23" s="68"/>
      <x:c r="N23" s="68"/>
      <x:c r="O23" s="68"/>
      <x:c r="P23" s="68"/>
      <x:c r="Q23" s="68"/>
      <x:c r="R23" s="68"/>
      <x:c r="S23" s="68"/>
    </x:row>
    <x:row r="24" ht="15" hidden="0" customHeight="1">
      <x:c r="A24" s="68"/>
      <x:c r="B24" s="68"/>
      <x:c r="C24" s="11" t="str">
        <x:v>Cash Flows to Capital Providers</x:v>
      </x:c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  <x:c r="S24" s="13"/>
    </x:row>
    <x:row r="25" ht="15" hidden="0" customHeight="1">
      <x:c r="A25" s="68"/>
      <x:c r="B25" s="68"/>
      <x:c r="C25" s="68" t="str">
        <x:v>Equity FCF before terminal</x:v>
      </x:c>
      <x:c r="D25" s="101" t="n">
        <x:v>0</x:v>
      </x:c>
      <x:c r="E25" s="101" t="n">
        <x:f>E20-E18+IF(1=15,'Operating Model'!D33,0)</x:f>
        <x:v>-1202095509.12</x:v>
      </x:c>
      <x:c r="F25" s="101" t="n">
        <x:f>F20-F18+IF(2=15,'Operating Model'!E33,0)</x:f>
        <x:v>1277134400.0307198</x:v>
      </x:c>
      <x:c r="G25" s="101" t="n">
        <x:f>G20-G18+IF(3=15,'Operating Model'!F33,0)</x:f>
        <x:v>1603540126.0362558</x:v>
      </x:c>
      <x:c r="H25" s="101" t="n">
        <x:f>H20-H18+IF(4=15,'Operating Model'!G33,0)</x:f>
        <x:v>4332029565.433761</x:v>
      </x:c>
      <x:c r="I25" s="101" t="n">
        <x:f>I20-I18+IF(5=15,'Operating Model'!H33,0)</x:f>
        <x:v>6434314157.756168</x:v>
      </x:c>
      <x:c r="J25" s="101" t="n">
        <x:f>J20-J18+IF(6=15,'Operating Model'!I33,0)</x:f>
        <x:v>7975732104.672913</x:v>
      </x:c>
      <x:c r="K25" s="101" t="n">
        <x:f>K20-K18+IF(7=15,'Operating Model'!J33,0)</x:f>
        <x:v>8670671988.288418</x:v>
      </x:c>
      <x:c r="L25" s="101" t="n">
        <x:f>L20-L18+IF(8=15,'Operating Model'!K33,0)</x:f>
        <x:v>9360794174.9969</x:v>
      </x:c>
      <x:c r="M25" s="101" t="n">
        <x:f>M20-M18+IF(9=15,'Operating Model'!L33,0)</x:f>
        <x:v>10054683405.15168</x:v>
      </x:c>
      <x:c r="N25" s="101" t="n">
        <x:f>N20-N18+IF(10=15,'Operating Model'!M33,0)</x:f>
        <x:v>10763331075.938395</x:v>
      </x:c>
      <x:c r="O25" s="101" t="n">
        <x:f>O20-O18+IF(11=15,'Operating Model'!N33,0)</x:f>
        <x:v>13662743697.438778</x:v>
      </x:c>
      <x:c r="P25" s="101" t="n">
        <x:f>P20-P18+IF(12=15,'Operating Model'!O33,0)</x:f>
        <x:v>14225099342.862288</x:v>
      </x:c>
      <x:c r="Q25" s="101" t="n">
        <x:f>Q20-Q18+IF(13=15,'Operating Model'!P33,0)</x:f>
        <x:v>14803839229.80724</x:v>
      </x:c>
      <x:c r="R25" s="101" t="n">
        <x:f>R20-R18+IF(14=15,'Operating Model'!Q33,0)</x:f>
        <x:v>15399269550.031315</x:v>
      </x:c>
      <x:c r="S25" s="101" t="n">
        <x:f>S20-S18+IF(15=15,'Operating Model'!R33,0)</x:f>
        <x:v>18240566309.98804</x:v>
      </x:c>
    </x:row>
    <x:row r="26" ht="15" hidden="0" customHeight="1">
      <x:c r="A26" s="68"/>
      <x:c r="B26" s="68"/>
      <x:c r="C26" s="68" t="str">
        <x:v>Terminal value</x:v>
      </x:c>
      <x:c r="D26" s="101" t="n">
        <x:v>0</x:v>
      </x:c>
      <x:c r="E26" s="101" t="n">
        <x:f>'Operating Model'!D37</x:f>
        <x:v>0</x:v>
      </x:c>
      <x:c r="F26" s="101" t="n">
        <x:f>'Operating Model'!E37</x:f>
        <x:v>0</x:v>
      </x:c>
      <x:c r="G26" s="101" t="n">
        <x:f>'Operating Model'!F37</x:f>
        <x:v>0</x:v>
      </x:c>
      <x:c r="H26" s="101" t="n">
        <x:f>'Operating Model'!G37</x:f>
        <x:v>0</x:v>
      </x:c>
      <x:c r="I26" s="101" t="n">
        <x:f>'Operating Model'!H37</x:f>
        <x:v>0</x:v>
      </x:c>
      <x:c r="J26" s="101" t="n">
        <x:f>'Operating Model'!I37</x:f>
        <x:v>0</x:v>
      </x:c>
      <x:c r="K26" s="101" t="n">
        <x:f>'Operating Model'!J37</x:f>
        <x:v>0</x:v>
      </x:c>
      <x:c r="L26" s="101" t="n">
        <x:f>'Operating Model'!K37</x:f>
        <x:v>0</x:v>
      </x:c>
      <x:c r="M26" s="101" t="n">
        <x:f>'Operating Model'!L37</x:f>
        <x:v>0</x:v>
      </x:c>
      <x:c r="N26" s="101" t="n">
        <x:f>'Operating Model'!M37</x:f>
        <x:v>0</x:v>
      </x:c>
      <x:c r="O26" s="101" t="n">
        <x:f>'Operating Model'!N37</x:f>
        <x:v>0</x:v>
      </x:c>
      <x:c r="P26" s="101" t="n">
        <x:f>'Operating Model'!O37</x:f>
        <x:v>0</x:v>
      </x:c>
      <x:c r="Q26" s="101" t="n">
        <x:f>'Operating Model'!P37</x:f>
        <x:v>0</x:v>
      </x:c>
      <x:c r="R26" s="101" t="n">
        <x:f>'Operating Model'!Q37</x:f>
        <x:v>0</x:v>
      </x:c>
      <x:c r="S26" s="101" t="n">
        <x:f>'Operating Model'!R37</x:f>
        <x:v>83516284324.80554</x:v>
      </x:c>
    </x:row>
    <x:row r="27" ht="15" hidden="0" customHeight="1">
      <x:c r="A27" s="68"/>
      <x:c r="B27" s="68"/>
      <x:c r="C27" s="104" t="str">
        <x:v>Total equity cash flow</x:v>
      </x:c>
      <x:c r="D27" s="105" t="n">
        <x:f>-$D$12</x:f>
        <x:v>-11600000000</x:v>
      </x:c>
      <x:c r="E27" s="105" t="n">
        <x:f>SUM(E25:E26)</x:f>
        <x:v>-1202095509.12</x:v>
      </x:c>
      <x:c r="F27" s="105" t="n">
        <x:f>SUM(F25:F26)</x:f>
        <x:v>1277134400.0307198</x:v>
      </x:c>
      <x:c r="G27" s="105" t="n">
        <x:f>SUM(G25:G26)</x:f>
        <x:v>1603540126.0362558</x:v>
      </x:c>
      <x:c r="H27" s="105" t="n">
        <x:f>SUM(H25:H26)</x:f>
        <x:v>4332029565.433761</x:v>
      </x:c>
      <x:c r="I27" s="105" t="n">
        <x:f>SUM(I25:I26)</x:f>
        <x:v>6434314157.756168</x:v>
      </x:c>
      <x:c r="J27" s="105" t="n">
        <x:f>SUM(J25:J26)</x:f>
        <x:v>7975732104.672913</x:v>
      </x:c>
      <x:c r="K27" s="105" t="n">
        <x:f>SUM(K25:K26)</x:f>
        <x:v>8670671988.288418</x:v>
      </x:c>
      <x:c r="L27" s="105" t="n">
        <x:f>SUM(L25:L26)</x:f>
        <x:v>9360794174.9969</x:v>
      </x:c>
      <x:c r="M27" s="105" t="n">
        <x:f>SUM(M25:M26)</x:f>
        <x:v>10054683405.15168</x:v>
      </x:c>
      <x:c r="N27" s="105" t="n">
        <x:f>SUM(N25:N26)</x:f>
        <x:v>10763331075.938395</x:v>
      </x:c>
      <x:c r="O27" s="105" t="n">
        <x:f>SUM(O25:O26)</x:f>
        <x:v>13662743697.438778</x:v>
      </x:c>
      <x:c r="P27" s="105" t="n">
        <x:f>SUM(P25:P26)</x:f>
        <x:v>14225099342.862288</x:v>
      </x:c>
      <x:c r="Q27" s="105" t="n">
        <x:f>SUM(Q25:Q26)</x:f>
        <x:v>14803839229.80724</x:v>
      </x:c>
      <x:c r="R27" s="105" t="n">
        <x:f>SUM(R25:R26)</x:f>
        <x:v>15399269550.031315</x:v>
      </x:c>
      <x:c r="S27" s="105" t="n">
        <x:f>SUM(S25:S26)</x:f>
        <x:v>101756850634.79358</x:v>
      </x:c>
    </x:row>
    <x:row r="28" ht="15" hidden="0" customHeight="1">
      <x:c r="A28" s="68"/>
      <x:c r="B28" s="68"/>
      <x:c r="C28" s="106" t="str">
        <x:v>Project cash flow</x:v>
      </x:c>
      <x:c r="D28" s="107" t="n">
        <x:f>-$D$10</x:f>
        <x:v>-29000000000</x:v>
      </x:c>
      <x:c r="E28" s="107" t="n">
        <x:f>'Operating Model'!D36+E26</x:f>
        <x:v>624904490.8800001</x:v>
      </x:c>
      <x:c r="F28" s="107" t="n">
        <x:f>'Operating Model'!E36+F26</x:f>
        <x:v>2702194400.0307198</x:v>
      </x:c>
      <x:c r="G28" s="107" t="n">
        <x:f>'Operating Model'!F36+G26</x:f>
        <x:v>5203600126.036256</x:v>
      </x:c>
      <x:c r="H28" s="107" t="n">
        <x:f>'Operating Model'!G36+H26</x:f>
        <x:v>7753957065.433761</x:v>
      </x:c>
      <x:c r="I28" s="107" t="n">
        <x:f>'Operating Model'!H36+I26</x:f>
        <x:v>9678109157.756168</x:v>
      </x:c>
      <x:c r="J28" s="107" t="n">
        <x:f>'Operating Model'!I36+J26</x:f>
        <x:v>11041394604.672913</x:v>
      </x:c>
      <x:c r="K28" s="107" t="n">
        <x:f>'Operating Model'!J36+K26</x:f>
        <x:v>11558201988.288418</x:v>
      </x:c>
      <x:c r="L28" s="107" t="n">
        <x:f>'Operating Model'!K36+L26</x:f>
        <x:v>12070191674.9969</x:v>
      </x:c>
      <x:c r="M28" s="107" t="n">
        <x:f>'Operating Model'!L36+M26</x:f>
        <x:v>12585948405.15168</x:v>
      </x:c>
      <x:c r="N28" s="107" t="n">
        <x:f>'Operating Model'!M36+N26</x:f>
        <x:v>13116463575.938395</x:v>
      </x:c>
      <x:c r="O28" s="107" t="n">
        <x:f>'Operating Model'!N36+O26</x:f>
        <x:v>13662743697.438778</x:v>
      </x:c>
      <x:c r="P28" s="107" t="n">
        <x:f>'Operating Model'!O36+P26</x:f>
        <x:v>14225099342.862288</x:v>
      </x:c>
      <x:c r="Q28" s="107" t="n">
        <x:f>'Operating Model'!P36+Q26</x:f>
        <x:v>14803839229.80724</x:v>
      </x:c>
      <x:c r="R28" s="107" t="n">
        <x:f>'Operating Model'!Q36+R26</x:f>
        <x:v>15399269550.031315</x:v>
      </x:c>
      <x:c r="S28" s="107" t="n">
        <x:f>'Operating Model'!R36+S26</x:f>
        <x:v>99527977572.30533</x:v>
      </x:c>
    </x:row>
    <x:row r="29" ht="15" hidden="0" customHeight="1">
      <x:c r="A29" s="68"/>
      <x:c r="B29" s="68"/>
      <x:c r="C29" s="108" t="str">
        <x:v>TL landowner cash flow</x:v>
      </x:c>
      <x:c r="D29" s="109" t="n">
        <x:f>-$D$9</x:f>
        <x:v>-32500000000</x:v>
      </x:c>
      <x:c r="E29" s="109" t="n">
        <x:f>'Operating Model'!D25+'Operating Model'!D26+IF(1=15,$D$9*(1+'Assumptions'!$D$42)^15,0)</x:f>
        <x:v>1896362000</x:v>
      </x:c>
      <x:c r="F29" s="109" t="n">
        <x:f>'Operating Model'!E25+'Operating Model'!E26+IF(2=15,$D$9*(1+'Assumptions'!$D$42)^15,0)</x:f>
        <x:v>2058578600</x:v>
      </x:c>
      <x:c r="G29" s="109" t="n">
        <x:f>'Operating Model'!F25+'Operating Model'!F26+IF(3=15,$D$9*(1+'Assumptions'!$D$42)^15,0)</x:f>
        <x:v>2228821470.2</x:v>
      </x:c>
      <x:c r="H29" s="109" t="n">
        <x:f>'Operating Model'!G25+'Operating Model'!G26+IF(4=15,$D$9*(1+'Assumptions'!$D$42)^15,0)</x:f>
        <x:v>2395493613.032</x:v>
      </x:c>
      <x:c r="I29" s="109" t="n">
        <x:f>'Operating Model'!H25+'Operating Model'!H26+IF(5=15,$D$9*(1+'Assumptions'!$D$42)^15,0)</x:f>
        <x:v>2544086608.0182805</x:v>
      </x:c>
      <x:c r="J29" s="109" t="n">
        <x:f>'Operating Model'!I25+'Operating Model'!I26+IF(6=15,$D$9*(1+'Assumptions'!$D$42)^15,0)</x:f>
        <x:v>2674120692.6692963</x:v>
      </x:c>
      <x:c r="K29" s="109" t="n">
        <x:f>'Operating Model'!J25+'Operating Model'!J26+IF(7=15,$D$9*(1+'Assumptions'!$D$42)^15,0)</x:f>
        <x:v>2754344313.449375</x:v>
      </x:c>
      <x:c r="L29" s="109" t="n">
        <x:f>'Operating Model'!K25+'Operating Model'!K26+IF(8=15,$D$9*(1+'Assumptions'!$D$42)^15,0)</x:f>
        <x:v>2836974642.8528566</x:v>
      </x:c>
      <x:c r="M29" s="109" t="n">
        <x:f>'Operating Model'!L25+'Operating Model'!L26+IF(9=15,$D$9*(1+'Assumptions'!$D$42)^15,0)</x:f>
        <x:v>2922083882.1384425</x:v>
      </x:c>
      <x:c r="N29" s="109" t="n">
        <x:f>'Operating Model'!M25+'Operating Model'!M26+IF(10=15,$D$9*(1+'Assumptions'!$D$42)^15,0)</x:f>
        <x:v>3009746398.602596</x:v>
      </x:c>
      <x:c r="O29" s="109" t="n">
        <x:f>'Operating Model'!N25+'Operating Model'!N26+IF(11=15,$D$9*(1+'Assumptions'!$D$42)^15,0)</x:f>
        <x:v>3100038790.5606737</x:v>
      </x:c>
      <x:c r="P29" s="109" t="n">
        <x:f>'Operating Model'!O25+'Operating Model'!O26+IF(12=15,$D$9*(1+'Assumptions'!$D$42)^15,0)</x:f>
        <x:v>3193039954.277494</x:v>
      </x:c>
      <x:c r="Q29" s="109" t="n">
        <x:f>'Operating Model'!P25+'Operating Model'!P26+IF(13=15,$D$9*(1+'Assumptions'!$D$42)^15,0)</x:f>
        <x:v>3288831152.905819</x:v>
      </x:c>
      <x:c r="R29" s="109" t="n">
        <x:f>'Operating Model'!Q25+'Operating Model'!Q26+IF(14=15,$D$9*(1+'Assumptions'!$D$42)^15,0)</x:f>
        <x:v>3387496087.4929934</x:v>
      </x:c>
      <x:c r="S29" s="109" t="n">
        <x:f>'Operating Model'!R25+'Operating Model'!R26+IF(15=15,$D$9*(1+'Assumptions'!$D$42)^15,0)</x:f>
        <x:v>54123062009.64265</x:v>
      </x:c>
    </x:row>
    <x:row r="30" ht="15" hidden="0" customHeight="1">
      <x:c r="A30" s="68"/>
      <x:c r="B30" s="68"/>
      <x:c r="C30" s="68" t="str">
        <x:v>Cumulative equity cash flow</x:v>
      </x:c>
      <x:c r="D30" s="101" t="n">
        <x:f>D27</x:f>
        <x:v>-11600000000</x:v>
      </x:c>
      <x:c r="E30" s="101" t="n">
        <x:f>D30+E27</x:f>
        <x:v>-12802095509.119999</x:v>
      </x:c>
      <x:c r="F30" s="101" t="n">
        <x:f>E30+F27</x:f>
        <x:v>-11524961109.08928</x:v>
      </x:c>
      <x:c r="G30" s="101" t="n">
        <x:f>F30+G27</x:f>
        <x:v>-9921420983.053024</x:v>
      </x:c>
      <x:c r="H30" s="101" t="n">
        <x:f>G30+H27</x:f>
        <x:v>-5589391417.619264</x:v>
      </x:c>
      <x:c r="I30" s="101" t="n">
        <x:f>H30+I27</x:f>
        <x:v>844922740.1369047</x:v>
      </x:c>
      <x:c r="J30" s="101" t="n">
        <x:f>I30+J27</x:f>
        <x:v>8820654844.809818</x:v>
      </x:c>
      <x:c r="K30" s="101" t="n">
        <x:f>J30+K27</x:f>
        <x:v>17491326833.098236</x:v>
      </x:c>
      <x:c r="L30" s="101" t="n">
        <x:f>K30+L27</x:f>
        <x:v>26852121008.09514</x:v>
      </x:c>
      <x:c r="M30" s="101" t="n">
        <x:f>L30+M27</x:f>
        <x:v>36906804413.24682</x:v>
      </x:c>
      <x:c r="N30" s="101" t="n">
        <x:f>M30+N27</x:f>
        <x:v>47670135489.18521</x:v>
      </x:c>
      <x:c r="O30" s="101" t="n">
        <x:f>N30+O27</x:f>
        <x:v>61332879186.62399</x:v>
      </x:c>
      <x:c r="P30" s="101" t="n">
        <x:f>O30+P27</x:f>
        <x:v>75557978529.48628</x:v>
      </x:c>
      <x:c r="Q30" s="101" t="n">
        <x:f>P30+Q27</x:f>
        <x:v>90361817759.29352</x:v>
      </x:c>
      <x:c r="R30" s="101" t="n">
        <x:f>Q30+R27</x:f>
        <x:v>105761087309.32483</x:v>
      </x:c>
      <x:c r="S30" s="101" t="n">
        <x:f>R30+S27</x:f>
        <x:v>207517937944.1184</x:v>
      </x:c>
    </x:row>
    <x:row r="31" ht="15" hidden="0" customHeight="1">
      <x:c r="A31" s="68"/>
      <x:c r="B31" s="68"/>
      <x:c r="C31" s="68"/>
      <x:c r="D31" s="68"/>
      <x:c r="E31" s="68"/>
      <x:c r="F31" s="68"/>
      <x:c r="G31" s="68"/>
      <x:c r="H31" s="68"/>
      <x:c r="I31" s="68"/>
      <x:c r="J31" s="68"/>
      <x:c r="K31" s="68"/>
      <x:c r="L31" s="68"/>
      <x:c r="M31" s="68"/>
      <x:c r="N31" s="68"/>
      <x:c r="O31" s="68"/>
      <x:c r="P31" s="68"/>
      <x:c r="Q31" s="68"/>
      <x:c r="R31" s="68"/>
      <x:c r="S31" s="68"/>
    </x:row>
    <x:row r="32" ht="15" hidden="0" customHeight="1">
      <x:c r="A32" s="68"/>
      <x:c r="B32" s="68"/>
      <x:c r="C32" s="68"/>
      <x:c r="D32" s="68"/>
      <x:c r="E32" s="68"/>
      <x:c r="F32" s="68"/>
      <x:c r="G32" s="68"/>
      <x:c r="H32" s="68"/>
      <x:c r="I32" s="68"/>
      <x:c r="J32" s="68"/>
      <x:c r="K32" s="68"/>
      <x:c r="L32" s="68"/>
      <x:c r="M32" s="68"/>
      <x:c r="N32" s="68"/>
      <x:c r="O32" s="68"/>
      <x:c r="P32" s="68"/>
      <x:c r="Q32" s="68"/>
      <x:c r="R32" s="68"/>
      <x:c r="S32" s="68"/>
    </x:row>
    <x:row r="33" ht="15" hidden="0" customHeight="1">
      <x:c r="A33" s="68"/>
      <x:c r="B33" s="68"/>
      <x:c r="C33" s="11" t="str">
        <x:v>Investment Results</x:v>
      </x:c>
      <x:c r="D33" s="12"/>
      <x:c r="E33" s="12"/>
      <x:c r="F33" s="12"/>
      <x:c r="G33" s="13"/>
      <x:c r="H33" s="68"/>
      <x:c r="I33" s="68"/>
      <x:c r="J33" s="68"/>
      <x:c r="K33" s="68"/>
      <x:c r="L33" s="68"/>
      <x:c r="M33" s="68"/>
      <x:c r="N33" s="68"/>
      <x:c r="O33" s="68"/>
      <x:c r="P33" s="68"/>
      <x:c r="Q33" s="68"/>
      <x:c r="R33" s="68"/>
      <x:c r="S33" s="68"/>
    </x:row>
    <x:row r="34" ht="15" hidden="0" customHeight="1">
      <x:c r="A34" s="68"/>
      <x:c r="B34" s="68"/>
      <x:c r="C34" s="19" t="str">
        <x:v>Metric</x:v>
      </x:c>
      <x:c r="D34" s="19" t="str">
        <x:v>Result</x:v>
      </x:c>
      <x:c r="E34" s="19" t="str">
        <x:v>Interpretation</x:v>
      </x:c>
      <x:c r="F34" s="68"/>
      <x:c r="G34" s="68"/>
      <x:c r="H34" s="68"/>
      <x:c r="I34" s="68"/>
      <x:c r="J34" s="68"/>
      <x:c r="K34" s="68"/>
      <x:c r="L34" s="68"/>
      <x:c r="M34" s="68"/>
      <x:c r="N34" s="68"/>
      <x:c r="O34" s="68"/>
      <x:c r="P34" s="68"/>
      <x:c r="Q34" s="68"/>
      <x:c r="R34" s="68"/>
      <x:c r="S34" s="68"/>
    </x:row>
    <x:row r="35" ht="15" hidden="0" customHeight="1">
      <x:c r="A35" s="68"/>
      <x:c r="B35" s="68"/>
      <x:c r="C35" s="68" t="str">
        <x:v>Operating project IRR</x:v>
      </x:c>
      <x:c r="D35" s="88" t="n">
        <x:f>IRR(D28:S28)</x:f>
        <x:v>0.24900491863192287</x:v>
      </x:c>
      <x:c r="E35" s="68" t="str">
        <x:v>Return on cash CAPEX before financing</x:v>
      </x:c>
      <x:c r="F35" s="68"/>
      <x:c r="G35" s="68"/>
      <x:c r="H35" s="68"/>
      <x:c r="I35" s="68"/>
      <x:c r="J35" s="68"/>
      <x:c r="K35" s="68"/>
      <x:c r="L35" s="68"/>
      <x:c r="M35" s="68"/>
      <x:c r="N35" s="68"/>
      <x:c r="O35" s="68"/>
      <x:c r="P35" s="68"/>
      <x:c r="Q35" s="68"/>
      <x:c r="R35" s="68"/>
      <x:c r="S35" s="68"/>
    </x:row>
    <x:row r="36" ht="15" hidden="0" customHeight="1">
      <x:c r="A36" s="68"/>
      <x:c r="B36" s="68"/>
      <x:c r="C36" s="68" t="str">
        <x:v>Equity investor IRR</x:v>
      </x:c>
      <x:c r="D36" s="88" t="n">
        <x:f>IRR(D27:S27)</x:f>
        <x:v>0.32883297689282526</x:v>
      </x:c>
      <x:c r="E36" s="68" t="str">
        <x:v>Levered return including terminal value</x:v>
      </x:c>
      <x:c r="F36" s="68"/>
      <x:c r="G36" s="68"/>
      <x:c r="H36" s="68"/>
      <x:c r="I36" s="68"/>
      <x:c r="J36" s="68"/>
      <x:c r="K36" s="68"/>
      <x:c r="L36" s="68"/>
      <x:c r="M36" s="68"/>
      <x:c r="N36" s="68"/>
      <x:c r="O36" s="68"/>
      <x:c r="P36" s="68"/>
      <x:c r="Q36" s="68"/>
      <x:c r="R36" s="68"/>
      <x:c r="S36" s="68"/>
    </x:row>
    <x:row r="37" ht="15" hidden="0" customHeight="1">
      <x:c r="A37" s="68"/>
      <x:c r="B37" s="68"/>
      <x:c r="C37" s="68" t="str">
        <x:v>Equity NPV at hurdle</x:v>
      </x:c>
      <x:c r="D37" s="101" t="n">
        <x:f>NPV('Assumptions'!$D$56,E27:S27)+D27</x:f>
        <x:v>33020347589.69194</x:v>
      </x:c>
      <x:c r="E37" s="68" t="str">
        <x:v>NPV at the editable equity hurdle rate</x:v>
      </x:c>
      <x:c r="F37" s="68"/>
      <x:c r="G37" s="68"/>
      <x:c r="H37" s="68"/>
      <x:c r="I37" s="68"/>
      <x:c r="J37" s="68"/>
      <x:c r="K37" s="68"/>
      <x:c r="L37" s="68"/>
      <x:c r="M37" s="68"/>
      <x:c r="N37" s="68"/>
      <x:c r="O37" s="68"/>
      <x:c r="P37" s="68"/>
      <x:c r="Q37" s="68"/>
      <x:c r="R37" s="68"/>
      <x:c r="S37" s="68"/>
    </x:row>
    <x:row r="38" ht="15" hidden="0" customHeight="1">
      <x:c r="A38" s="68"/>
      <x:c r="B38" s="68"/>
      <x:c r="C38" s="68" t="str">
        <x:v>Minimum DSCR from Year 2</x:v>
      </x:c>
      <x:c r="D38" s="110" t="n">
        <x:f>MIN(F21:N21)</x:f>
        <x:v>1.4006846891644817</x:v>
      </x:c>
      <x:c r="E38" s="68" t="str">
        <x:v>Year 1 shortfall covered by reserve</x:v>
      </x:c>
      <x:c r="F38" s="68"/>
      <x:c r="G38" s="68"/>
      <x:c r="H38" s="68"/>
      <x:c r="I38" s="68"/>
      <x:c r="J38" s="68"/>
      <x:c r="K38" s="68"/>
      <x:c r="L38" s="68"/>
      <x:c r="M38" s="68"/>
      <x:c r="N38" s="68"/>
      <x:c r="O38" s="68"/>
      <x:c r="P38" s="68"/>
      <x:c r="Q38" s="68"/>
      <x:c r="R38" s="68"/>
      <x:c r="S38" s="68"/>
    </x:row>
    <x:row r="39" ht="15" hidden="0" customHeight="1">
      <x:c r="A39" s="68"/>
      <x:c r="B39" s="68"/>
      <x:c r="C39" s="68" t="str">
        <x:v>Startup debt-service reserve</x:v>
      </x:c>
      <x:c r="D39" s="101" t="n">
        <x:f>SUM(E22:F22)</x:f>
        <x:v>1202095509.12</x:v>
      </x:c>
      <x:c r="E39" s="68" t="str">
        <x:v>Required cash buffer during principal grace</x:v>
      </x:c>
      <x:c r="F39" s="68"/>
      <x:c r="G39" s="68"/>
      <x:c r="H39" s="68"/>
      <x:c r="I39" s="68"/>
      <x:c r="J39" s="68"/>
      <x:c r="K39" s="68"/>
      <x:c r="L39" s="68"/>
      <x:c r="M39" s="68"/>
      <x:c r="N39" s="68"/>
      <x:c r="O39" s="68"/>
      <x:c r="P39" s="68"/>
      <x:c r="Q39" s="68"/>
      <x:c r="R39" s="68"/>
      <x:c r="S39" s="68"/>
    </x:row>
    <x:row r="40" ht="15" hidden="0" customHeight="1">
      <x:c r="A40" s="68"/>
      <x:c r="B40" s="68"/>
      <x:c r="C40" s="68" t="str">
        <x:v>Total bank interest</x:v>
      </x:c>
      <x:c r="D40" s="101" t="n">
        <x:f>SUM(E16:N16)</x:f>
        <x:v>11875500000</x:v>
      </x:c>
      <x:c r="E40" s="68" t="str">
        <x:v>Contractual interest over the loan</x:v>
      </x:c>
      <x:c r="F40" s="68"/>
      <x:c r="G40" s="68"/>
      <x:c r="H40" s="68"/>
      <x:c r="I40" s="68"/>
      <x:c r="J40" s="68"/>
      <x:c r="K40" s="68"/>
      <x:c r="L40" s="68"/>
      <x:c r="M40" s="68"/>
      <x:c r="N40" s="68"/>
      <x:c r="O40" s="68"/>
      <x:c r="P40" s="68"/>
      <x:c r="Q40" s="68"/>
      <x:c r="R40" s="68"/>
      <x:c r="S40" s="68"/>
    </x:row>
    <x:row r="41" ht="15" hidden="0" customHeight="1">
      <x:c r="A41" s="68"/>
      <x:c r="B41" s="68"/>
      <x:c r="C41" s="68" t="str">
        <x:v>TL land and recurring-income IRR</x:v>
      </x:c>
      <x:c r="D41" s="88" t="n">
        <x:f>IRR(D29:S29)</x:f>
        <x:v>0.09785439334993269</x:v>
      </x:c>
      <x:c r="E41" s="68" t="str">
        <x:v>Land lease, visitor share, and retained land value</x:v>
      </x:c>
      <x:c r="F41" s="68"/>
      <x:c r="G41" s="68"/>
      <x:c r="H41" s="68"/>
      <x:c r="I41" s="68"/>
      <x:c r="J41" s="68"/>
      <x:c r="K41" s="68"/>
      <x:c r="L41" s="68"/>
      <x:c r="M41" s="68"/>
      <x:c r="N41" s="68"/>
      <x:c r="O41" s="68"/>
      <x:c r="P41" s="68"/>
      <x:c r="Q41" s="68"/>
      <x:c r="R41" s="68"/>
      <x:c r="S41" s="68"/>
    </x:row>
    <x:row r="42" ht="15" hidden="0" customHeight="1">
      <x:c r="A42" s="68"/>
      <x:c r="B42" s="68"/>
      <x:c r="C42" s="68" t="str">
        <x:v>Villa owner yield before</x:v>
      </x:c>
      <x:c r="D42" s="88" t="n">
        <x:f>'Assumptions'!$D$23*365*'Assumptions'!$D$25*'Assumptions'!$D$54/'Assumptions'!$D$53</x:f>
        <x:v>0.03345833333333334</x:v>
      </x:c>
      <x:c r="E42" s="68" t="str">
        <x:v>Cash yield proxy at 25% occupancy</x:v>
      </x:c>
      <x:c r="F42" s="68"/>
      <x:c r="G42" s="68"/>
      <x:c r="H42" s="68"/>
      <x:c r="I42" s="68"/>
      <x:c r="J42" s="68"/>
      <x:c r="K42" s="68"/>
      <x:c r="L42" s="68"/>
      <x:c r="M42" s="68"/>
      <x:c r="N42" s="68"/>
      <x:c r="O42" s="68"/>
      <x:c r="P42" s="68"/>
      <x:c r="Q42" s="68"/>
      <x:c r="R42" s="68"/>
      <x:c r="S42" s="68"/>
    </x:row>
    <x:row r="43" ht="15" hidden="0" customHeight="1">
      <x:c r="A43" s="68"/>
      <x:c r="B43" s="68"/>
      <x:c r="C43" s="68" t="str">
        <x:v>Villa owner yield after stabilization</x:v>
      </x:c>
      <x:c r="D43" s="88" t="n">
        <x:f>'Occupancy &amp; Rooms'!I12*365*'Assumptions'!$D$25*'Assumptions'!$D$54/'Assumptions'!$D$53</x:f>
        <x:v>0.09153833333333333</x:v>
      </x:c>
      <x:c r="E43" s="68" t="str">
        <x:v>Cash yield proxy at Stage 1 occupancy</x:v>
      </x:c>
      <x:c r="F43" s="68"/>
      <x:c r="G43" s="68"/>
      <x:c r="H43" s="68"/>
      <x:c r="I43" s="68"/>
      <x:c r="J43" s="68"/>
      <x:c r="K43" s="68"/>
      <x:c r="L43" s="68"/>
      <x:c r="M43" s="68"/>
      <x:c r="N43" s="68"/>
      <x:c r="O43" s="68"/>
      <x:c r="P43" s="68"/>
      <x:c r="Q43" s="68"/>
      <x:c r="R43" s="68"/>
      <x:c r="S43" s="68"/>
    </x:row>
    <x:row r="44" ht="15" hidden="0" customHeight="1">
      <x:c r="A44" s="68"/>
      <x:c r="B44" s="68"/>
      <x:c r="C44" s="68" t="str">
        <x:v>Equity payback</x:v>
      </x:c>
      <x:c r="D44" s="68" t="n">
        <x:f>IF(E30&gt;=0,1,IF(F30&gt;=0,2,IF(G30&gt;=0,3,IF(H30&gt;=0,4,IF(I30&gt;=0,5,IF(J30&gt;=0,6,IF(K30&gt;=0,7,IF(L30&gt;=0,8,IF(M30&gt;=0,9,IF(N30&gt;=0,10,IF(O30&gt;=0,11,IF(P30&gt;=0,12,IF(Q30&gt;=0,13,IF(R30&gt;=0,14,IF(S30&gt;=0,15,"n/a")))))))))))))))</x:f>
        <x:v>5</x:v>
      </x:c>
      <x:c r="E44" s="68" t="str">
        <x:v>First year cumulative equity cash flow becomes positive</x:v>
      </x:c>
      <x:c r="F44" s="68"/>
      <x:c r="G44" s="68"/>
      <x:c r="H44" s="68"/>
      <x:c r="I44" s="68"/>
      <x:c r="J44" s="68"/>
      <x:c r="K44" s="68"/>
      <x:c r="L44" s="68"/>
      <x:c r="M44" s="68"/>
      <x:c r="N44" s="68"/>
      <x:c r="O44" s="68"/>
      <x:c r="P44" s="68"/>
      <x:c r="Q44" s="68"/>
      <x:c r="R44" s="68"/>
      <x:c r="S44" s="68"/>
    </x:row>
    <x:row r="45" ht="15" hidden="0" customHeight="1">
      <x:c r="A45" s="68"/>
      <x:c r="B45" s="68"/>
      <x:c r="C45" s="68" t="str">
        <x:v>Bankability screen</x:v>
      </x:c>
      <x:c r="D45" s="68" t="str">
        <x:f>IF(AND(D38&gt;=1.3,D39&lt;='Assumptions'!$D$55),"Conditionally bankable","Needs financing redesign")</x:f>
        <x:v>Conditionally bankable</x:v>
      </x:c>
      <x:c r="E45" s="68" t="str">
        <x:v>Requires term sheet and lender due diligence</x:v>
      </x:c>
      <x:c r="F45" s="68"/>
      <x:c r="G45" s="68"/>
      <x:c r="H45" s="68"/>
      <x:c r="I45" s="68"/>
      <x:c r="J45" s="68"/>
      <x:c r="K45" s="68"/>
      <x:c r="L45" s="68"/>
      <x:c r="M45" s="68"/>
      <x:c r="N45" s="68"/>
      <x:c r="O45" s="68"/>
      <x:c r="P45" s="68"/>
      <x:c r="Q45" s="68"/>
      <x:c r="R45" s="68"/>
      <x:c r="S45" s="68"/>
    </x:row>
    <x:row r="46" ht="15" hidden="0" customHeight="1">
      <x:c r="A46" s="68"/>
      <x:c r="B46" s="68"/>
      <x:c r="C46" s="68" t="str">
        <x:v>Year 6 EBITDA</x:v>
      </x:c>
      <x:c r="D46" s="101" t="n">
        <x:f>'Operating Model'!I27</x:f>
        <x:v>14580920079.670921</x:v>
      </x:c>
      <x:c r="E46" s="68" t="str">
        <x:v>Stabilized operating target</x:v>
      </x:c>
      <x:c r="F46" s="68"/>
      <x:c r="G46" s="68"/>
      <x:c r="H46" s="68"/>
      <x:c r="I46" s="68"/>
      <x:c r="J46" s="68"/>
      <x:c r="K46" s="68"/>
      <x:c r="L46" s="68"/>
      <x:c r="M46" s="68"/>
      <x:c r="N46" s="68"/>
      <x:c r="O46" s="68"/>
      <x:c r="P46" s="68"/>
      <x:c r="Q46" s="68"/>
      <x:c r="R46" s="68"/>
      <x:c r="S46" s="68"/>
    </x:row>
    <x:row r="47" ht="15" hidden="0" customHeight="1">
      <x:c r="A47" s="68"/>
      <x:c r="B47" s="68"/>
      <x:c r="C47" s="68"/>
      <x:c r="D47" s="68"/>
      <x:c r="E47" s="68"/>
      <x:c r="F47" s="68"/>
      <x:c r="G47" s="68"/>
      <x:c r="H47" s="68"/>
      <x:c r="I47" s="68"/>
      <x:c r="J47" s="68"/>
      <x:c r="K47" s="68"/>
      <x:c r="L47" s="68"/>
      <x:c r="M47" s="68"/>
      <x:c r="N47" s="68"/>
      <x:c r="O47" s="68"/>
      <x:c r="P47" s="68"/>
      <x:c r="Q47" s="68"/>
      <x:c r="R47" s="68"/>
      <x:c r="S47" s="68"/>
    </x:row>
    <x:row r="48" ht="15" hidden="0" customHeight="1">
      <x:c r="A48" s="68"/>
      <x:c r="B48" s="68"/>
      <x:c r="C48" s="68"/>
      <x:c r="D48" s="68"/>
      <x:c r="E48" s="68"/>
      <x:c r="F48" s="68"/>
      <x:c r="G48" s="68"/>
      <x:c r="H48" s="68"/>
      <x:c r="I48" s="68"/>
      <x:c r="J48" s="68"/>
      <x:c r="K48" s="68"/>
      <x:c r="L48" s="68"/>
      <x:c r="M48" s="68"/>
      <x:c r="N48" s="68"/>
      <x:c r="O48" s="68"/>
      <x:c r="P48" s="68"/>
      <x:c r="Q48" s="68"/>
      <x:c r="R48" s="68"/>
      <x:c r="S48" s="68"/>
    </x:row>
    <x:row r="49" ht="15" hidden="0" customHeight="1">
      <x:c r="A49" s="68"/>
      <x:c r="B49" s="68"/>
      <x:c r="C49" s="68"/>
      <x:c r="D49" s="68"/>
      <x:c r="E49" s="68"/>
      <x:c r="F49" s="68"/>
      <x:c r="G49" s="68"/>
      <x:c r="H49" s="68"/>
      <x:c r="I49" s="68"/>
      <x:c r="J49" s="68"/>
      <x:c r="K49" s="68"/>
      <x:c r="L49" s="68"/>
      <x:c r="M49" s="68"/>
      <x:c r="N49" s="68"/>
      <x:c r="O49" s="68"/>
      <x:c r="P49" s="68"/>
      <x:c r="Q49" s="68"/>
      <x:c r="R49" s="68"/>
      <x:c r="S49" s="68"/>
    </x:row>
    <x:row r="50" ht="15" hidden="0" customHeight="1">
      <x:c r="A50" s="68"/>
      <x:c r="B50" s="68"/>
      <x:c r="C50" s="68"/>
      <x:c r="D50" s="68"/>
      <x:c r="E50" s="68"/>
      <x:c r="F50" s="68"/>
      <x:c r="G50" s="68"/>
      <x:c r="H50" s="68"/>
      <x:c r="I50" s="68"/>
      <x:c r="J50" s="68"/>
      <x:c r="K50" s="68"/>
      <x:c r="L50" s="68"/>
      <x:c r="M50" s="68"/>
      <x:c r="N50" s="68"/>
      <x:c r="O50" s="68"/>
      <x:c r="P50" s="68"/>
      <x:c r="Q50" s="68"/>
      <x:c r="R50" s="68"/>
      <x:c r="S50" s="68"/>
    </x:row>
    <x:row r="51" ht="15" hidden="0" customHeight="1">
      <x:c r="A51" s="68"/>
      <x:c r="B51" s="68"/>
      <x:c r="C51" s="68"/>
      <x:c r="D51" s="68"/>
      <x:c r="E51" s="68"/>
      <x:c r="F51" s="68"/>
      <x:c r="G51" s="68"/>
      <x:c r="H51" s="68"/>
      <x:c r="I51" s="68"/>
      <x:c r="J51" s="68"/>
      <x:c r="K51" s="68"/>
      <x:c r="L51" s="68"/>
      <x:c r="M51" s="68"/>
      <x:c r="N51" s="68"/>
      <x:c r="O51" s="68"/>
      <x:c r="P51" s="68"/>
      <x:c r="Q51" s="68"/>
      <x:c r="R51" s="68"/>
      <x:c r="S51" s="68"/>
    </x:row>
    <x:row r="52" ht="15" hidden="0" customHeight="1">
      <x:c r="A52" s="68"/>
      <x:c r="B52" s="68"/>
      <x:c r="C52" s="68"/>
      <x:c r="D52" s="68"/>
      <x:c r="E52" s="68"/>
      <x:c r="F52" s="68"/>
      <x:c r="G52" s="68"/>
      <x:c r="H52" s="68"/>
      <x:c r="I52" s="68"/>
      <x:c r="J52" s="68"/>
      <x:c r="K52" s="68"/>
      <x:c r="L52" s="68"/>
      <x:c r="M52" s="68"/>
      <x:c r="N52" s="68"/>
      <x:c r="O52" s="68"/>
      <x:c r="P52" s="68"/>
      <x:c r="Q52" s="68"/>
      <x:c r="R52" s="68"/>
      <x:c r="S52" s="68"/>
    </x:row>
    <x:row r="53" ht="15" hidden="0" customHeight="1">
      <x:c r="A53" s="68"/>
      <x:c r="B53" s="68"/>
      <x:c r="C53" s="68"/>
      <x:c r="D53" s="68"/>
      <x:c r="E53" s="68"/>
      <x:c r="F53" s="68"/>
      <x:c r="G53" s="68"/>
      <x:c r="H53" s="68"/>
      <x:c r="I53" s="68"/>
      <x:c r="J53" s="68"/>
      <x:c r="K53" s="68"/>
      <x:c r="L53" s="68"/>
      <x:c r="M53" s="68"/>
      <x:c r="N53" s="68"/>
      <x:c r="O53" s="68"/>
      <x:c r="P53" s="68"/>
      <x:c r="Q53" s="68"/>
      <x:c r="R53" s="68"/>
      <x:c r="S53" s="68"/>
    </x:row>
    <x:row r="54" ht="15" hidden="0" customHeight="1">
      <x:c r="A54" s="68"/>
      <x:c r="B54" s="68"/>
      <x:c r="C54" s="68"/>
      <x:c r="D54" s="68"/>
      <x:c r="E54" s="68"/>
      <x:c r="F54" s="68"/>
      <x:c r="G54" s="68"/>
      <x:c r="H54" s="68"/>
      <x:c r="I54" s="68"/>
      <x:c r="J54" s="68"/>
      <x:c r="K54" s="68"/>
      <x:c r="L54" s="68"/>
      <x:c r="M54" s="68"/>
      <x:c r="N54" s="68"/>
      <x:c r="O54" s="68"/>
      <x:c r="P54" s="68"/>
      <x:c r="Q54" s="68"/>
      <x:c r="R54" s="68"/>
      <x:c r="S54" s="68"/>
    </x:row>
    <x:row r="55" ht="15" hidden="0" customHeight="1">
      <x:c r="A55" s="68"/>
      <x:c r="B55" s="68"/>
      <x:c r="C55" s="68"/>
      <x:c r="D55" s="68"/>
      <x:c r="E55" s="68"/>
      <x:c r="F55" s="68"/>
      <x:c r="G55" s="68"/>
      <x:c r="H55" s="68"/>
      <x:c r="I55" s="68"/>
      <x:c r="J55" s="68"/>
      <x:c r="K55" s="68"/>
      <x:c r="L55" s="68"/>
      <x:c r="M55" s="68"/>
      <x:c r="N55" s="68"/>
      <x:c r="O55" s="68"/>
      <x:c r="P55" s="68"/>
      <x:c r="Q55" s="68"/>
      <x:c r="R55" s="68"/>
      <x:c r="S55" s="68"/>
    </x:row>
    <x:row r="56" ht="15" hidden="0" customHeight="1">
      <x:c r="A56" s="68"/>
      <x:c r="B56" s="68"/>
      <x:c r="C56" s="68"/>
      <x:c r="D56" s="68"/>
      <x:c r="E56" s="68"/>
      <x:c r="F56" s="68"/>
      <x:c r="G56" s="68"/>
      <x:c r="H56" s="68"/>
      <x:c r="I56" s="68"/>
      <x:c r="J56" s="68"/>
      <x:c r="K56" s="68"/>
      <x:c r="L56" s="68"/>
      <x:c r="M56" s="68"/>
      <x:c r="N56" s="68"/>
      <x:c r="O56" s="68"/>
      <x:c r="P56" s="68"/>
      <x:c r="Q56" s="68"/>
      <x:c r="R56" s="68"/>
      <x:c r="S56" s="68"/>
    </x:row>
    <x:row r="57" ht="15" hidden="0" customHeight="1">
      <x:c r="A57" s="68"/>
      <x:c r="B57" s="68"/>
      <x:c r="C57" s="68"/>
      <x:c r="D57" s="68"/>
      <x:c r="E57" s="68"/>
      <x:c r="F57" s="68"/>
      <x:c r="G57" s="68"/>
      <x:c r="H57" s="68"/>
      <x:c r="I57" s="68"/>
      <x:c r="J57" s="68"/>
      <x:c r="K57" s="68"/>
      <x:c r="L57" s="68"/>
      <x:c r="M57" s="68"/>
      <x:c r="N57" s="68"/>
      <x:c r="O57" s="68"/>
      <x:c r="P57" s="68"/>
      <x:c r="Q57" s="68"/>
      <x:c r="R57" s="68"/>
      <x:c r="S57" s="68"/>
    </x:row>
    <x:row r="58" ht="15" hidden="0" customHeight="1">
      <x:c r="A58" s="68"/>
      <x:c r="B58" s="68"/>
      <x:c r="C58" s="68"/>
      <x:c r="D58" s="68"/>
      <x:c r="E58" s="68"/>
      <x:c r="F58" s="68"/>
      <x:c r="G58" s="68"/>
      <x:c r="H58" s="68"/>
      <x:c r="I58" s="68"/>
      <x:c r="J58" s="68"/>
      <x:c r="K58" s="68"/>
      <x:c r="L58" s="68"/>
      <x:c r="M58" s="68"/>
      <x:c r="N58" s="68"/>
      <x:c r="O58" s="68"/>
      <x:c r="P58" s="68"/>
      <x:c r="Q58" s="68"/>
      <x:c r="R58" s="68"/>
      <x:c r="S58" s="68"/>
    </x:row>
    <x:row r="59" ht="15" hidden="0" customHeight="1">
      <x:c r="A59" s="68"/>
      <x:c r="B59" s="68"/>
      <x:c r="C59" s="68"/>
      <x:c r="D59" s="68"/>
      <x:c r="E59" s="68"/>
      <x:c r="F59" s="68"/>
      <x:c r="G59" s="68"/>
      <x:c r="H59" s="68"/>
      <x:c r="I59" s="68"/>
      <x:c r="J59" s="68"/>
      <x:c r="K59" s="68"/>
      <x:c r="L59" s="68"/>
      <x:c r="M59" s="68"/>
      <x:c r="N59" s="68"/>
      <x:c r="O59" s="68"/>
      <x:c r="P59" s="68"/>
      <x:c r="Q59" s="68"/>
      <x:c r="R59" s="68"/>
      <x:c r="S59" s="68"/>
    </x:row>
    <x:row r="60" ht="15" hidden="0" customHeight="1">
      <x:c r="A60" s="68"/>
      <x:c r="B60" s="68"/>
      <x:c r="C60" s="68"/>
      <x:c r="D60" s="68"/>
      <x:c r="E60" s="68"/>
      <x:c r="F60" s="68"/>
      <x:c r="G60" s="68"/>
      <x:c r="H60" s="68"/>
      <x:c r="I60" s="68"/>
      <x:c r="J60" s="68"/>
      <x:c r="K60" s="68"/>
      <x:c r="L60" s="68"/>
      <x:c r="M60" s="68"/>
      <x:c r="N60" s="68"/>
      <x:c r="O60" s="68"/>
      <x:c r="P60" s="68"/>
      <x:c r="Q60" s="68"/>
      <x:c r="R60" s="68"/>
      <x:c r="S60" s="68"/>
    </x:row>
    <x:row r="61" ht="15" hidden="0" customHeight="1">
      <x:c r="A61" s="68"/>
      <x:c r="B61" s="68"/>
      <x:c r="C61" s="68"/>
      <x:c r="D61" s="68"/>
      <x:c r="E61" s="68"/>
      <x:c r="F61" s="68"/>
      <x:c r="G61" s="68"/>
      <x:c r="H61" s="68"/>
      <x:c r="I61" s="68"/>
      <x:c r="J61" s="68"/>
      <x:c r="K61" s="68"/>
      <x:c r="L61" s="68"/>
      <x:c r="M61" s="68"/>
      <x:c r="N61" s="68"/>
      <x:c r="O61" s="68"/>
      <x:c r="P61" s="68"/>
      <x:c r="Q61" s="68"/>
      <x:c r="R61" s="68"/>
      <x:c r="S61" s="68"/>
    </x:row>
    <x:row r="62" ht="15" hidden="0" customHeight="1">
      <x:c r="A62" s="68"/>
      <x:c r="B62" s="68"/>
      <x:c r="C62" s="68"/>
      <x:c r="D62" s="68"/>
      <x:c r="E62" s="68"/>
      <x:c r="F62" s="68"/>
      <x:c r="G62" s="68"/>
      <x:c r="H62" s="68"/>
      <x:c r="I62" s="68"/>
      <x:c r="J62" s="68"/>
      <x:c r="K62" s="68"/>
      <x:c r="L62" s="68"/>
      <x:c r="M62" s="68"/>
      <x:c r="N62" s="68"/>
      <x:c r="O62" s="68"/>
      <x:c r="P62" s="68"/>
      <x:c r="Q62" s="68"/>
      <x:c r="R62" s="68"/>
      <x:c r="S62" s="68"/>
    </x:row>
    <x:row r="63" ht="15" hidden="0" customHeight="1">
      <x:c r="A63" s="68"/>
      <x:c r="B63" s="68"/>
      <x:c r="C63" s="68"/>
      <x:c r="D63" s="68"/>
      <x:c r="E63" s="68"/>
      <x:c r="F63" s="68"/>
      <x:c r="G63" s="68"/>
      <x:c r="H63" s="68"/>
      <x:c r="I63" s="68"/>
      <x:c r="J63" s="68"/>
      <x:c r="K63" s="68"/>
      <x:c r="L63" s="68"/>
      <x:c r="M63" s="68"/>
      <x:c r="N63" s="68"/>
      <x:c r="O63" s="68"/>
      <x:c r="P63" s="68"/>
      <x:c r="Q63" s="68"/>
      <x:c r="R63" s="68"/>
      <x:c r="S63" s="68"/>
    </x:row>
    <x:row r="64" ht="15" hidden="0" customHeight="1">
      <x:c r="A64" s="68"/>
      <x:c r="B64" s="68"/>
      <x:c r="C64" s="68"/>
      <x:c r="D64" s="68"/>
      <x:c r="E64" s="68"/>
      <x:c r="F64" s="68"/>
      <x:c r="G64" s="68"/>
      <x:c r="H64" s="68"/>
      <x:c r="I64" s="68"/>
      <x:c r="J64" s="68"/>
      <x:c r="K64" s="68"/>
      <x:c r="L64" s="68"/>
      <x:c r="M64" s="68"/>
      <x:c r="N64" s="68"/>
      <x:c r="O64" s="68"/>
      <x:c r="P64" s="68"/>
      <x:c r="Q64" s="68"/>
      <x:c r="R64" s="68"/>
      <x:c r="S64" s="68"/>
    </x:row>
    <x:row r="65" ht="15" hidden="0" customHeight="1">
      <x:c r="A65" s="68"/>
      <x:c r="B65" s="68"/>
      <x:c r="C65" s="68"/>
      <x:c r="D65" s="68"/>
      <x:c r="E65" s="68"/>
      <x:c r="F65" s="68"/>
      <x:c r="G65" s="68"/>
      <x:c r="H65" s="68"/>
      <x:c r="I65" s="68"/>
      <x:c r="J65" s="68"/>
      <x:c r="K65" s="68"/>
      <x:c r="L65" s="68"/>
      <x:c r="M65" s="68"/>
      <x:c r="N65" s="68"/>
      <x:c r="O65" s="68"/>
      <x:c r="P65" s="68"/>
      <x:c r="Q65" s="68"/>
      <x:c r="R65" s="68"/>
      <x:c r="S65" s="68"/>
    </x:row>
    <x:row r="66" ht="15" hidden="0" customHeight="1">
      <x:c r="A66" s="68"/>
      <x:c r="B66" s="68"/>
      <x:c r="C66" s="68"/>
      <x:c r="D66" s="68"/>
      <x:c r="E66" s="68"/>
      <x:c r="F66" s="68"/>
      <x:c r="G66" s="68"/>
      <x:c r="H66" s="68"/>
      <x:c r="I66" s="68"/>
      <x:c r="J66" s="68"/>
      <x:c r="K66" s="68"/>
      <x:c r="L66" s="68"/>
      <x:c r="M66" s="68"/>
      <x:c r="N66" s="68"/>
      <x:c r="O66" s="68"/>
      <x:c r="P66" s="68"/>
      <x:c r="Q66" s="68"/>
      <x:c r="R66" s="68"/>
      <x:c r="S66" s="68"/>
    </x:row>
    <x:row r="67" ht="15" hidden="0" customHeight="1">
      <x:c r="A67" s="68"/>
      <x:c r="B67" s="68"/>
      <x:c r="C67" s="68"/>
      <x:c r="D67" s="68"/>
      <x:c r="E67" s="68"/>
      <x:c r="F67" s="68"/>
      <x:c r="G67" s="68"/>
      <x:c r="H67" s="68"/>
      <x:c r="I67" s="68"/>
      <x:c r="J67" s="68"/>
      <x:c r="K67" s="68"/>
      <x:c r="L67" s="68"/>
      <x:c r="M67" s="68"/>
      <x:c r="N67" s="68"/>
      <x:c r="O67" s="68"/>
      <x:c r="P67" s="68"/>
      <x:c r="Q67" s="68"/>
      <x:c r="R67" s="68"/>
      <x:c r="S67" s="68"/>
    </x:row>
    <x:row r="68" ht="15" hidden="0" customHeight="1">
      <x:c r="A68" s="68"/>
      <x:c r="B68" s="68"/>
      <x:c r="C68" s="68"/>
      <x:c r="D68" s="68"/>
      <x:c r="E68" s="68"/>
      <x:c r="F68" s="68"/>
      <x:c r="G68" s="68"/>
      <x:c r="H68" s="68"/>
      <x:c r="I68" s="68"/>
      <x:c r="J68" s="68"/>
      <x:c r="K68" s="68"/>
      <x:c r="L68" s="68"/>
      <x:c r="M68" s="68"/>
      <x:c r="N68" s="68"/>
      <x:c r="O68" s="68"/>
      <x:c r="P68" s="68"/>
      <x:c r="Q68" s="68"/>
      <x:c r="R68" s="68"/>
      <x:c r="S68" s="68"/>
    </x:row>
    <x:row r="69" ht="15" hidden="0" customHeight="1">
      <x:c r="A69" s="68"/>
      <x:c r="B69" s="68"/>
      <x:c r="C69" s="68"/>
      <x:c r="D69" s="68"/>
      <x:c r="E69" s="68"/>
      <x:c r="F69" s="68"/>
      <x:c r="G69" s="68"/>
      <x:c r="H69" s="68"/>
      <x:c r="I69" s="68"/>
      <x:c r="J69" s="68"/>
      <x:c r="K69" s="68"/>
      <x:c r="L69" s="68"/>
      <x:c r="M69" s="68"/>
      <x:c r="N69" s="68"/>
      <x:c r="O69" s="68"/>
      <x:c r="P69" s="68"/>
      <x:c r="Q69" s="68"/>
      <x:c r="R69" s="68"/>
      <x:c r="S69" s="68"/>
    </x:row>
    <x:row r="70" ht="15" hidden="0" customHeight="1">
      <x:c r="A70" s="68"/>
      <x:c r="B70" s="68"/>
      <x:c r="C70" s="68"/>
      <x:c r="D70" s="68"/>
      <x:c r="E70" s="68"/>
      <x:c r="F70" s="68"/>
      <x:c r="G70" s="68"/>
      <x:c r="H70" s="68"/>
      <x:c r="I70" s="68"/>
      <x:c r="J70" s="68"/>
      <x:c r="K70" s="68"/>
      <x:c r="L70" s="68"/>
      <x:c r="M70" s="68"/>
      <x:c r="N70" s="68"/>
      <x:c r="O70" s="68"/>
      <x:c r="P70" s="68"/>
      <x:c r="Q70" s="68"/>
      <x:c r="R70" s="68"/>
      <x:c r="S70" s="68"/>
    </x:row>
    <x:row r="71" ht="15" hidden="0" customHeight="1">
      <x:c r="A71" s="68"/>
      <x:c r="B71" s="68"/>
      <x:c r="C71" s="68"/>
      <x:c r="D71" s="68"/>
      <x:c r="E71" s="68"/>
      <x:c r="F71" s="68"/>
      <x:c r="G71" s="68"/>
      <x:c r="H71" s="68"/>
      <x:c r="I71" s="68"/>
      <x:c r="J71" s="68"/>
      <x:c r="K71" s="68"/>
      <x:c r="L71" s="68"/>
      <x:c r="M71" s="68"/>
      <x:c r="N71" s="68"/>
      <x:c r="O71" s="68"/>
      <x:c r="P71" s="68"/>
      <x:c r="Q71" s="68"/>
      <x:c r="R71" s="68"/>
      <x:c r="S71" s="68"/>
    </x:row>
    <x:row r="72" ht="15" hidden="0" customHeight="1">
      <x:c r="A72" s="68"/>
      <x:c r="B72" s="68"/>
      <x:c r="C72" s="68"/>
      <x:c r="D72" s="68"/>
      <x:c r="E72" s="68"/>
      <x:c r="F72" s="68"/>
      <x:c r="G72" s="68"/>
      <x:c r="H72" s="68"/>
      <x:c r="I72" s="68"/>
      <x:c r="J72" s="68"/>
      <x:c r="K72" s="68"/>
      <x:c r="L72" s="68"/>
      <x:c r="M72" s="68"/>
      <x:c r="N72" s="68"/>
      <x:c r="O72" s="68"/>
      <x:c r="P72" s="68"/>
      <x:c r="Q72" s="68"/>
      <x:c r="R72" s="68"/>
      <x:c r="S72" s="68"/>
    </x:row>
    <x:row r="73" ht="15" hidden="0" customHeight="1">
      <x:c r="A73" s="68"/>
      <x:c r="B73" s="68"/>
      <x:c r="C73" s="68"/>
      <x:c r="D73" s="68"/>
      <x:c r="E73" s="68"/>
      <x:c r="F73" s="68"/>
      <x:c r="G73" s="68"/>
      <x:c r="H73" s="68"/>
      <x:c r="I73" s="68"/>
      <x:c r="J73" s="68"/>
      <x:c r="K73" s="68"/>
      <x:c r="L73" s="68"/>
      <x:c r="M73" s="68"/>
      <x:c r="N73" s="68"/>
      <x:c r="O73" s="68"/>
      <x:c r="P73" s="68"/>
      <x:c r="Q73" s="68"/>
      <x:c r="R73" s="68"/>
      <x:c r="S73" s="68"/>
    </x:row>
    <x:row r="74" ht="15" hidden="0" customHeight="1">
      <x:c r="A74" s="68"/>
      <x:c r="B74" s="68"/>
      <x:c r="C74" s="68"/>
      <x:c r="D74" s="68"/>
      <x:c r="E74" s="68"/>
      <x:c r="F74" s="68"/>
      <x:c r="G74" s="68"/>
      <x:c r="H74" s="68"/>
      <x:c r="I74" s="68"/>
      <x:c r="J74" s="68"/>
      <x:c r="K74" s="68"/>
      <x:c r="L74" s="68"/>
      <x:c r="M74" s="68"/>
      <x:c r="N74" s="68"/>
      <x:c r="O74" s="68"/>
      <x:c r="P74" s="68"/>
      <x:c r="Q74" s="68"/>
      <x:c r="R74" s="68"/>
      <x:c r="S74" s="68"/>
    </x:row>
    <x:row r="75" ht="15" hidden="0" customHeight="1">
      <x:c r="A75" s="68"/>
      <x:c r="B75" s="68"/>
      <x:c r="C75" s="68"/>
      <x:c r="D75" s="68"/>
      <x:c r="E75" s="68"/>
      <x:c r="F75" s="68"/>
      <x:c r="G75" s="68"/>
      <x:c r="H75" s="68"/>
      <x:c r="I75" s="68"/>
      <x:c r="J75" s="68"/>
      <x:c r="K75" s="68"/>
      <x:c r="L75" s="68"/>
      <x:c r="M75" s="68"/>
      <x:c r="N75" s="68"/>
      <x:c r="O75" s="68"/>
      <x:c r="P75" s="68"/>
      <x:c r="Q75" s="68"/>
      <x:c r="R75" s="68"/>
      <x:c r="S75" s="68"/>
    </x:row>
    <x:row r="76" ht="15" hidden="0" customHeight="1">
      <x:c r="A76" s="68"/>
      <x:c r="B76" s="68"/>
      <x:c r="C76" s="68"/>
      <x:c r="D76" s="68"/>
      <x:c r="E76" s="68"/>
      <x:c r="F76" s="68"/>
      <x:c r="G76" s="68"/>
      <x:c r="H76" s="68"/>
      <x:c r="I76" s="68"/>
      <x:c r="J76" s="68"/>
      <x:c r="K76" s="68"/>
      <x:c r="L76" s="68"/>
      <x:c r="M76" s="68"/>
      <x:c r="N76" s="68"/>
      <x:c r="O76" s="68"/>
      <x:c r="P76" s="68"/>
      <x:c r="Q76" s="68"/>
      <x:c r="R76" s="68"/>
      <x:c r="S76" s="68"/>
    </x:row>
    <x:row r="77" ht="15" hidden="0" customHeight="1">
      <x:c r="A77" s="68"/>
      <x:c r="B77" s="68"/>
      <x:c r="C77" s="68"/>
      <x:c r="D77" s="68"/>
      <x:c r="E77" s="68"/>
      <x:c r="F77" s="68"/>
      <x:c r="G77" s="68"/>
      <x:c r="H77" s="68"/>
      <x:c r="I77" s="68"/>
      <x:c r="J77" s="68"/>
      <x:c r="K77" s="68"/>
      <x:c r="L77" s="68"/>
      <x:c r="M77" s="68"/>
      <x:c r="N77" s="68"/>
      <x:c r="O77" s="68"/>
      <x:c r="P77" s="68"/>
      <x:c r="Q77" s="68"/>
      <x:c r="R77" s="68"/>
      <x:c r="S77" s="68"/>
    </x:row>
    <x:row r="78" ht="15" hidden="0" customHeight="1">
      <x:c r="A78" s="68"/>
      <x:c r="B78" s="68"/>
      <x:c r="C78" s="68"/>
      <x:c r="D78" s="68"/>
      <x:c r="E78" s="68"/>
      <x:c r="F78" s="68"/>
      <x:c r="G78" s="68"/>
      <x:c r="H78" s="68"/>
      <x:c r="I78" s="68"/>
      <x:c r="J78" s="68"/>
      <x:c r="K78" s="68"/>
      <x:c r="L78" s="68"/>
      <x:c r="M78" s="68"/>
      <x:c r="N78" s="68"/>
      <x:c r="O78" s="68"/>
      <x:c r="P78" s="68"/>
      <x:c r="Q78" s="68"/>
      <x:c r="R78" s="68"/>
      <x:c r="S78" s="68"/>
    </x:row>
    <x:row r="79" ht="15" hidden="0" customHeight="1">
      <x:c r="A79" s="68"/>
      <x:c r="B79" s="68"/>
      <x:c r="C79" s="68"/>
      <x:c r="D79" s="68"/>
      <x:c r="E79" s="68"/>
      <x:c r="F79" s="68"/>
      <x:c r="G79" s="68"/>
      <x:c r="H79" s="68"/>
      <x:c r="I79" s="68"/>
      <x:c r="J79" s="68"/>
      <x:c r="K79" s="68"/>
      <x:c r="L79" s="68"/>
      <x:c r="M79" s="68"/>
      <x:c r="N79" s="68"/>
      <x:c r="O79" s="68"/>
      <x:c r="P79" s="68"/>
      <x:c r="Q79" s="68"/>
      <x:c r="R79" s="68"/>
      <x:c r="S79" s="68"/>
    </x:row>
    <x:row r="80" ht="15" hidden="0" customHeight="1">
      <x:c r="A80" s="68"/>
      <x:c r="B80" s="68"/>
      <x:c r="C80" s="68"/>
      <x:c r="D80" s="68"/>
      <x:c r="E80" s="68"/>
      <x:c r="F80" s="68"/>
      <x:c r="G80" s="68"/>
      <x:c r="H80" s="68"/>
      <x:c r="I80" s="68"/>
      <x:c r="J80" s="68"/>
      <x:c r="K80" s="68"/>
      <x:c r="L80" s="68"/>
      <x:c r="M80" s="68"/>
      <x:c r="N80" s="68"/>
      <x:c r="O80" s="68"/>
      <x:c r="P80" s="68"/>
      <x:c r="Q80" s="68"/>
      <x:c r="R80" s="68"/>
      <x:c r="S80" s="68"/>
    </x:row>
    <x:row r="81" ht="15" hidden="0" customHeight="1">
      <x:c r="A81" s="68"/>
      <x:c r="B81" s="68"/>
      <x:c r="C81" s="68"/>
      <x:c r="D81" s="68"/>
      <x:c r="E81" s="68"/>
      <x:c r="F81" s="68"/>
      <x:c r="G81" s="68"/>
      <x:c r="H81" s="68"/>
      <x:c r="I81" s="68"/>
      <x:c r="J81" s="68"/>
      <x:c r="K81" s="68"/>
      <x:c r="L81" s="68"/>
      <x:c r="M81" s="68"/>
      <x:c r="N81" s="68"/>
      <x:c r="O81" s="68"/>
      <x:c r="P81" s="68"/>
      <x:c r="Q81" s="68"/>
      <x:c r="R81" s="68"/>
      <x:c r="S81" s="68"/>
    </x:row>
    <x:row r="82" ht="15" hidden="0" customHeight="1">
      <x:c r="A82" s="68"/>
      <x:c r="B82" s="68"/>
      <x:c r="C82" s="68"/>
      <x:c r="D82" s="68"/>
      <x:c r="E82" s="68"/>
      <x:c r="F82" s="68"/>
      <x:c r="G82" s="68"/>
      <x:c r="H82" s="68"/>
      <x:c r="I82" s="68"/>
      <x:c r="J82" s="68"/>
      <x:c r="K82" s="68"/>
      <x:c r="L82" s="68"/>
      <x:c r="M82" s="68"/>
      <x:c r="N82" s="68"/>
      <x:c r="O82" s="68"/>
      <x:c r="P82" s="68"/>
      <x:c r="Q82" s="68"/>
      <x:c r="R82" s="68"/>
      <x:c r="S82" s="68"/>
    </x:row>
    <x:row r="83" ht="15" hidden="0" customHeight="1">
      <x:c r="A83" s="68"/>
      <x:c r="B83" s="68"/>
      <x:c r="C83" s="68"/>
      <x:c r="D83" s="68"/>
      <x:c r="E83" s="68"/>
      <x:c r="F83" s="68"/>
      <x:c r="G83" s="68"/>
      <x:c r="H83" s="68"/>
      <x:c r="I83" s="68"/>
      <x:c r="J83" s="68"/>
      <x:c r="K83" s="68"/>
      <x:c r="L83" s="68"/>
      <x:c r="M83" s="68"/>
      <x:c r="N83" s="68"/>
      <x:c r="O83" s="68"/>
      <x:c r="P83" s="68"/>
      <x:c r="Q83" s="68"/>
      <x:c r="R83" s="68"/>
      <x:c r="S83" s="68"/>
    </x:row>
    <x:row r="84" ht="15" hidden="0" customHeight="1">
      <x:c r="A84" s="68"/>
      <x:c r="B84" s="68"/>
      <x:c r="C84" s="68"/>
      <x:c r="D84" s="68"/>
      <x:c r="E84" s="68"/>
      <x:c r="F84" s="68"/>
      <x:c r="G84" s="68"/>
      <x:c r="H84" s="68"/>
      <x:c r="I84" s="68"/>
      <x:c r="J84" s="68"/>
      <x:c r="K84" s="68"/>
      <x:c r="L84" s="68"/>
      <x:c r="M84" s="68"/>
      <x:c r="N84" s="68"/>
      <x:c r="O84" s="68"/>
      <x:c r="P84" s="68"/>
      <x:c r="Q84" s="68"/>
      <x:c r="R84" s="68"/>
      <x:c r="S84" s="68"/>
    </x:row>
    <x:row r="85" ht="15" hidden="0" customHeight="1">
      <x:c r="A85" s="68"/>
      <x:c r="B85" s="68"/>
      <x:c r="C85" s="68"/>
      <x:c r="D85" s="68"/>
      <x:c r="E85" s="68"/>
      <x:c r="F85" s="68"/>
      <x:c r="G85" s="68"/>
      <x:c r="H85" s="68"/>
      <x:c r="I85" s="68"/>
      <x:c r="J85" s="68"/>
      <x:c r="K85" s="68"/>
      <x:c r="L85" s="68"/>
      <x:c r="M85" s="68"/>
      <x:c r="N85" s="68"/>
      <x:c r="O85" s="68"/>
      <x:c r="P85" s="68"/>
      <x:c r="Q85" s="68"/>
      <x:c r="R85" s="68"/>
      <x:c r="S85" s="68"/>
    </x:row>
    <x:row r="86" ht="15" hidden="0" customHeight="1">
      <x:c r="A86" s="68"/>
      <x:c r="B86" s="68"/>
      <x:c r="C86" s="68"/>
      <x:c r="D86" s="68"/>
      <x:c r="E86" s="68"/>
      <x:c r="F86" s="68"/>
      <x:c r="G86" s="68"/>
      <x:c r="H86" s="68"/>
      <x:c r="I86" s="68"/>
      <x:c r="J86" s="68"/>
      <x:c r="K86" s="68"/>
      <x:c r="L86" s="68"/>
      <x:c r="M86" s="68"/>
      <x:c r="N86" s="68"/>
      <x:c r="O86" s="68"/>
      <x:c r="P86" s="68"/>
      <x:c r="Q86" s="68"/>
      <x:c r="R86" s="68"/>
      <x:c r="S86" s="68"/>
    </x:row>
    <x:row r="87" ht="15" hidden="0" customHeight="1">
      <x:c r="A87" s="68"/>
      <x:c r="B87" s="68"/>
      <x:c r="C87" s="68"/>
      <x:c r="D87" s="68"/>
      <x:c r="E87" s="68"/>
      <x:c r="F87" s="68"/>
      <x:c r="G87" s="68"/>
      <x:c r="H87" s="68"/>
      <x:c r="I87" s="68"/>
      <x:c r="J87" s="68"/>
      <x:c r="K87" s="68"/>
      <x:c r="L87" s="68"/>
      <x:c r="M87" s="68"/>
      <x:c r="N87" s="68"/>
      <x:c r="O87" s="68"/>
      <x:c r="P87" s="68"/>
      <x:c r="Q87" s="68"/>
      <x:c r="R87" s="68"/>
      <x:c r="S87" s="68"/>
    </x:row>
    <x:row r="88" ht="15" hidden="0" customHeight="1">
      <x:c r="A88" s="68"/>
      <x:c r="B88" s="68"/>
      <x:c r="C88" s="68"/>
      <x:c r="D88" s="68"/>
      <x:c r="E88" s="68"/>
      <x:c r="F88" s="68"/>
      <x:c r="G88" s="68"/>
      <x:c r="H88" s="68"/>
      <x:c r="I88" s="68"/>
      <x:c r="J88" s="68"/>
      <x:c r="K88" s="68"/>
      <x:c r="L88" s="68"/>
      <x:c r="M88" s="68"/>
      <x:c r="N88" s="68"/>
      <x:c r="O88" s="68"/>
      <x:c r="P88" s="68"/>
      <x:c r="Q88" s="68"/>
      <x:c r="R88" s="68"/>
      <x:c r="S88" s="68"/>
    </x:row>
    <x:row r="89" ht="15" hidden="0" customHeight="1">
      <x:c r="A89" s="68"/>
      <x:c r="B89" s="68"/>
      <x:c r="C89" s="68"/>
      <x:c r="D89" s="68"/>
      <x:c r="E89" s="68"/>
      <x:c r="F89" s="68"/>
      <x:c r="G89" s="68"/>
      <x:c r="H89" s="68"/>
      <x:c r="I89" s="68"/>
      <x:c r="J89" s="68"/>
      <x:c r="K89" s="68"/>
      <x:c r="L89" s="68"/>
      <x:c r="M89" s="68"/>
      <x:c r="N89" s="68"/>
      <x:c r="O89" s="68"/>
      <x:c r="P89" s="68"/>
      <x:c r="Q89" s="68"/>
      <x:c r="R89" s="68"/>
      <x:c r="S89" s="68"/>
    </x:row>
    <x:row r="90" ht="15" hidden="0" customHeight="1">
      <x:c r="A90" s="68"/>
      <x:c r="B90" s="68"/>
      <x:c r="C90" s="68"/>
      <x:c r="D90" s="68"/>
      <x:c r="E90" s="68"/>
      <x:c r="F90" s="68"/>
      <x:c r="G90" s="68"/>
      <x:c r="H90" s="68"/>
      <x:c r="I90" s="68"/>
      <x:c r="J90" s="68"/>
      <x:c r="K90" s="68"/>
      <x:c r="L90" s="68"/>
      <x:c r="M90" s="68"/>
      <x:c r="N90" s="68"/>
      <x:c r="O90" s="68"/>
      <x:c r="P90" s="68"/>
      <x:c r="Q90" s="68"/>
      <x:c r="R90" s="68"/>
      <x:c r="S90" s="68"/>
    </x:row>
    <x:row r="91" ht="15" hidden="0" customHeight="1">
      <x:c r="A91" s="68"/>
      <x:c r="B91" s="68"/>
      <x:c r="C91" s="68"/>
      <x:c r="D91" s="68"/>
      <x:c r="E91" s="68"/>
      <x:c r="F91" s="68"/>
      <x:c r="G91" s="68"/>
      <x:c r="H91" s="68"/>
      <x:c r="I91" s="68"/>
      <x:c r="J91" s="68"/>
      <x:c r="K91" s="68"/>
      <x:c r="L91" s="68"/>
      <x:c r="M91" s="68"/>
      <x:c r="N91" s="68"/>
      <x:c r="O91" s="68"/>
      <x:c r="P91" s="68"/>
      <x:c r="Q91" s="68"/>
      <x:c r="R91" s="68"/>
      <x:c r="S91" s="68"/>
    </x:row>
    <x:row r="92" ht="15" hidden="0" customHeight="1">
      <x:c r="A92" s="68"/>
      <x:c r="B92" s="68"/>
      <x:c r="C92" s="68"/>
      <x:c r="D92" s="68"/>
      <x:c r="E92" s="68"/>
      <x:c r="F92" s="68"/>
      <x:c r="G92" s="68"/>
      <x:c r="H92" s="68"/>
      <x:c r="I92" s="68"/>
      <x:c r="J92" s="68"/>
      <x:c r="K92" s="68"/>
      <x:c r="L92" s="68"/>
      <x:c r="M92" s="68"/>
      <x:c r="N92" s="68"/>
      <x:c r="O92" s="68"/>
      <x:c r="P92" s="68"/>
      <x:c r="Q92" s="68"/>
      <x:c r="R92" s="68"/>
      <x:c r="S92" s="68"/>
    </x:row>
    <x:row r="93" ht="15" hidden="0" customHeight="1">
      <x:c r="A93" s="68"/>
      <x:c r="B93" s="68"/>
      <x:c r="C93" s="68"/>
      <x:c r="D93" s="68"/>
      <x:c r="E93" s="68"/>
      <x:c r="F93" s="68"/>
      <x:c r="G93" s="68"/>
      <x:c r="H93" s="68"/>
      <x:c r="I93" s="68"/>
      <x:c r="J93" s="68"/>
      <x:c r="K93" s="68"/>
      <x:c r="L93" s="68"/>
      <x:c r="M93" s="68"/>
      <x:c r="N93" s="68"/>
      <x:c r="O93" s="68"/>
      <x:c r="P93" s="68"/>
      <x:c r="Q93" s="68"/>
      <x:c r="R93" s="68"/>
      <x:c r="S93" s="68"/>
    </x:row>
    <x:row r="94" ht="15" hidden="0" customHeight="1">
      <x:c r="A94" s="68"/>
      <x:c r="B94" s="68"/>
      <x:c r="C94" s="68"/>
      <x:c r="D94" s="68"/>
      <x:c r="E94" s="68"/>
      <x:c r="F94" s="68"/>
      <x:c r="G94" s="68"/>
      <x:c r="H94" s="68"/>
      <x:c r="I94" s="68"/>
      <x:c r="J94" s="68"/>
      <x:c r="K94" s="68"/>
      <x:c r="L94" s="68"/>
      <x:c r="M94" s="68"/>
      <x:c r="N94" s="68"/>
      <x:c r="O94" s="68"/>
      <x:c r="P94" s="68"/>
      <x:c r="Q94" s="68"/>
      <x:c r="R94" s="68"/>
      <x:c r="S94" s="68"/>
    </x:row>
    <x:row r="95" ht="15" hidden="0" customHeight="1">
      <x:c r="A95" s="68"/>
      <x:c r="B95" s="68"/>
      <x:c r="C95" s="68"/>
      <x:c r="D95" s="68"/>
      <x:c r="E95" s="68"/>
      <x:c r="F95" s="68"/>
      <x:c r="G95" s="68"/>
      <x:c r="H95" s="68"/>
      <x:c r="I95" s="68"/>
      <x:c r="J95" s="68"/>
      <x:c r="K95" s="68"/>
      <x:c r="L95" s="68"/>
      <x:c r="M95" s="68"/>
      <x:c r="N95" s="68"/>
      <x:c r="O95" s="68"/>
      <x:c r="P95" s="68"/>
      <x:c r="Q95" s="68"/>
      <x:c r="R95" s="68"/>
      <x:c r="S95" s="68"/>
    </x:row>
    <x:row r="96" ht="15" hidden="0" customHeight="1">
      <x:c r="A96" s="68"/>
      <x:c r="B96" s="68"/>
      <x:c r="C96" s="68"/>
      <x:c r="D96" s="68"/>
      <x:c r="E96" s="68"/>
      <x:c r="F96" s="68"/>
      <x:c r="G96" s="68"/>
      <x:c r="H96" s="68"/>
      <x:c r="I96" s="68"/>
      <x:c r="J96" s="68"/>
      <x:c r="K96" s="68"/>
      <x:c r="L96" s="68"/>
      <x:c r="M96" s="68"/>
      <x:c r="N96" s="68"/>
      <x:c r="O96" s="68"/>
      <x:c r="P96" s="68"/>
      <x:c r="Q96" s="68"/>
      <x:c r="R96" s="68"/>
      <x:c r="S96" s="68"/>
    </x:row>
    <x:row r="97" ht="15" hidden="0" customHeight="1">
      <x:c r="A97" s="68"/>
      <x:c r="B97" s="68"/>
      <x:c r="C97" s="68"/>
      <x:c r="D97" s="68"/>
      <x:c r="E97" s="68"/>
      <x:c r="F97" s="68"/>
      <x:c r="G97" s="68"/>
      <x:c r="H97" s="68"/>
      <x:c r="I97" s="68"/>
      <x:c r="J97" s="68"/>
      <x:c r="K97" s="68"/>
      <x:c r="L97" s="68"/>
      <x:c r="M97" s="68"/>
      <x:c r="N97" s="68"/>
      <x:c r="O97" s="68"/>
      <x:c r="P97" s="68"/>
      <x:c r="Q97" s="68"/>
      <x:c r="R97" s="68"/>
      <x:c r="S97" s="68"/>
    </x:row>
    <x:row r="98" ht="15" hidden="0" customHeight="1">
      <x:c r="A98" s="68"/>
      <x:c r="B98" s="68"/>
      <x:c r="C98" s="68"/>
      <x:c r="D98" s="68"/>
      <x:c r="E98" s="68"/>
      <x:c r="F98" s="68"/>
      <x:c r="G98" s="68"/>
      <x:c r="H98" s="68"/>
      <x:c r="I98" s="68"/>
      <x:c r="J98" s="68"/>
      <x:c r="K98" s="68"/>
      <x:c r="L98" s="68"/>
      <x:c r="M98" s="68"/>
      <x:c r="N98" s="68"/>
      <x:c r="O98" s="68"/>
      <x:c r="P98" s="68"/>
      <x:c r="Q98" s="68"/>
      <x:c r="R98" s="68"/>
      <x:c r="S98" s="68"/>
    </x:row>
    <x:row r="99" ht="15" hidden="0" customHeight="1">
      <x:c r="A99" s="68"/>
      <x:c r="B99" s="68"/>
      <x:c r="C99" s="68"/>
      <x:c r="D99" s="68"/>
      <x:c r="E99" s="68"/>
      <x:c r="F99" s="68"/>
      <x:c r="G99" s="68"/>
      <x:c r="H99" s="68"/>
      <x:c r="I99" s="68"/>
      <x:c r="J99" s="68"/>
      <x:c r="K99" s="68"/>
      <x:c r="L99" s="68"/>
      <x:c r="M99" s="68"/>
      <x:c r="N99" s="68"/>
      <x:c r="O99" s="68"/>
      <x:c r="P99" s="68"/>
      <x:c r="Q99" s="68"/>
      <x:c r="R99" s="68"/>
      <x:c r="S99" s="68"/>
    </x:row>
    <x:row r="100" ht="15" hidden="0" customHeight="1">
      <x:c r="A100" s="68"/>
      <x:c r="B100" s="68"/>
      <x:c r="C100" s="68"/>
      <x:c r="D100" s="68"/>
      <x:c r="E100" s="68"/>
      <x:c r="F100" s="68"/>
      <x:c r="G100" s="68"/>
      <x:c r="H100" s="68"/>
      <x:c r="I100" s="68"/>
      <x:c r="J100" s="68"/>
      <x:c r="K100" s="68"/>
      <x:c r="L100" s="68"/>
      <x:c r="M100" s="68"/>
      <x:c r="N100" s="68"/>
      <x:c r="O100" s="68"/>
      <x:c r="P100" s="68"/>
      <x:c r="Q100" s="68"/>
      <x:c r="R100" s="68"/>
      <x:c r="S100" s="68"/>
    </x:row>
    <x:row r="101" ht="15" hidden="0" customHeight="1">
      <x:c r="A101" s="68"/>
      <x:c r="B101" s="68"/>
      <x:c r="C101" s="68"/>
      <x:c r="D101" s="68"/>
      <x:c r="E101" s="68"/>
      <x:c r="F101" s="68"/>
      <x:c r="G101" s="68"/>
      <x:c r="H101" s="68"/>
      <x:c r="I101" s="68"/>
      <x:c r="J101" s="68"/>
      <x:c r="K101" s="68"/>
      <x:c r="L101" s="68"/>
      <x:c r="M101" s="68"/>
      <x:c r="N101" s="68"/>
      <x:c r="O101" s="68"/>
      <x:c r="P101" s="68"/>
      <x:c r="Q101" s="68"/>
      <x:c r="R101" s="68"/>
      <x:c r="S101" s="68"/>
    </x:row>
    <x:row r="102" ht="15" hidden="0" customHeight="1">
      <x:c r="A102" s="68"/>
      <x:c r="B102" s="68"/>
      <x:c r="C102" s="68"/>
      <x:c r="D102" s="68"/>
      <x:c r="E102" s="68"/>
      <x:c r="F102" s="68"/>
      <x:c r="G102" s="68"/>
      <x:c r="H102" s="68"/>
      <x:c r="I102" s="68"/>
      <x:c r="J102" s="68"/>
      <x:c r="K102" s="68"/>
      <x:c r="L102" s="68"/>
      <x:c r="M102" s="68"/>
      <x:c r="N102" s="68"/>
      <x:c r="O102" s="68"/>
      <x:c r="P102" s="68"/>
      <x:c r="Q102" s="68"/>
      <x:c r="R102" s="68"/>
      <x:c r="S102" s="68"/>
    </x:row>
    <x:row r="103" ht="15" hidden="0" customHeight="1">
      <x:c r="A103" s="68"/>
      <x:c r="B103" s="68"/>
      <x:c r="C103" s="68"/>
      <x:c r="D103" s="68"/>
      <x:c r="E103" s="68"/>
      <x:c r="F103" s="68"/>
      <x:c r="G103" s="68"/>
      <x:c r="H103" s="68"/>
      <x:c r="I103" s="68"/>
      <x:c r="J103" s="68"/>
      <x:c r="K103" s="68"/>
      <x:c r="L103" s="68"/>
      <x:c r="M103" s="68"/>
      <x:c r="N103" s="68"/>
      <x:c r="O103" s="68"/>
      <x:c r="P103" s="68"/>
      <x:c r="Q103" s="68"/>
      <x:c r="R103" s="68"/>
      <x:c r="S103" s="68"/>
    </x:row>
    <x:row r="104" ht="15" hidden="0" customHeight="1">
      <x:c r="A104" s="68"/>
      <x:c r="B104" s="68"/>
      <x:c r="C104" s="68"/>
      <x:c r="D104" s="68"/>
      <x:c r="E104" s="68"/>
      <x:c r="F104" s="68"/>
      <x:c r="G104" s="68"/>
      <x:c r="H104" s="68"/>
      <x:c r="I104" s="68"/>
      <x:c r="J104" s="68"/>
      <x:c r="K104" s="68"/>
      <x:c r="L104" s="68"/>
      <x:c r="M104" s="68"/>
      <x:c r="N104" s="68"/>
      <x:c r="O104" s="68"/>
      <x:c r="P104" s="68"/>
      <x:c r="Q104" s="68"/>
      <x:c r="R104" s="68"/>
      <x:c r="S104" s="68"/>
    </x:row>
    <x:row r="105" ht="15" hidden="0" customHeight="1">
      <x:c r="A105" s="68"/>
      <x:c r="B105" s="68"/>
      <x:c r="C105" s="68"/>
      <x:c r="D105" s="68"/>
      <x:c r="E105" s="68"/>
      <x:c r="F105" s="68"/>
      <x:c r="G105" s="68"/>
      <x:c r="H105" s="68"/>
      <x:c r="I105" s="68"/>
      <x:c r="J105" s="68"/>
      <x:c r="K105" s="68"/>
      <x:c r="L105" s="68"/>
      <x:c r="M105" s="68"/>
      <x:c r="N105" s="68"/>
      <x:c r="O105" s="68"/>
      <x:c r="P105" s="68"/>
      <x:c r="Q105" s="68"/>
      <x:c r="R105" s="68"/>
      <x:c r="S105" s="68"/>
    </x:row>
    <x:row r="106" ht="15" hidden="0" customHeight="1">
      <x:c r="A106" s="68"/>
      <x:c r="B106" s="68"/>
      <x:c r="C106" s="68"/>
      <x:c r="D106" s="68"/>
      <x:c r="E106" s="68"/>
      <x:c r="F106" s="68"/>
      <x:c r="G106" s="68"/>
      <x:c r="H106" s="68"/>
      <x:c r="I106" s="68"/>
      <x:c r="J106" s="68"/>
      <x:c r="K106" s="68"/>
      <x:c r="L106" s="68"/>
      <x:c r="M106" s="68"/>
      <x:c r="N106" s="68"/>
      <x:c r="O106" s="68"/>
      <x:c r="P106" s="68"/>
      <x:c r="Q106" s="68"/>
      <x:c r="R106" s="68"/>
      <x:c r="S106" s="68"/>
    </x:row>
    <x:row r="107" ht="15" hidden="0" customHeight="1">
      <x:c r="A107" s="68"/>
      <x:c r="B107" s="68"/>
      <x:c r="C107" s="68"/>
      <x:c r="D107" s="68"/>
      <x:c r="E107" s="68"/>
      <x:c r="F107" s="68"/>
      <x:c r="G107" s="68"/>
      <x:c r="H107" s="68"/>
      <x:c r="I107" s="68"/>
      <x:c r="J107" s="68"/>
      <x:c r="K107" s="68"/>
      <x:c r="L107" s="68"/>
      <x:c r="M107" s="68"/>
      <x:c r="N107" s="68"/>
      <x:c r="O107" s="68"/>
      <x:c r="P107" s="68"/>
      <x:c r="Q107" s="68"/>
      <x:c r="R107" s="68"/>
      <x:c r="S107" s="68"/>
    </x:row>
    <x:row r="108" ht="15" hidden="0" customHeight="1">
      <x:c r="A108" s="68"/>
      <x:c r="B108" s="68"/>
      <x:c r="C108" s="68"/>
      <x:c r="D108" s="68"/>
      <x:c r="E108" s="68"/>
      <x:c r="F108" s="68"/>
      <x:c r="G108" s="68"/>
      <x:c r="H108" s="68"/>
      <x:c r="I108" s="68"/>
      <x:c r="J108" s="68"/>
      <x:c r="K108" s="68"/>
      <x:c r="L108" s="68"/>
      <x:c r="M108" s="68"/>
      <x:c r="N108" s="68"/>
      <x:c r="O108" s="68"/>
      <x:c r="P108" s="68"/>
      <x:c r="Q108" s="68"/>
      <x:c r="R108" s="68"/>
      <x:c r="S108" s="68"/>
    </x:row>
    <x:row r="109" ht="15" hidden="0" customHeight="1">
      <x:c r="A109" s="68"/>
      <x:c r="B109" s="68"/>
      <x:c r="C109" s="68"/>
      <x:c r="D109" s="68"/>
      <x:c r="E109" s="68"/>
      <x:c r="F109" s="68"/>
      <x:c r="G109" s="68"/>
      <x:c r="H109" s="68"/>
      <x:c r="I109" s="68"/>
      <x:c r="J109" s="68"/>
      <x:c r="K109" s="68"/>
      <x:c r="L109" s="68"/>
      <x:c r="M109" s="68"/>
      <x:c r="N109" s="68"/>
      <x:c r="O109" s="68"/>
      <x:c r="P109" s="68"/>
      <x:c r="Q109" s="68"/>
      <x:c r="R109" s="68"/>
      <x:c r="S109" s="68"/>
    </x:row>
    <x:row r="110" ht="15" hidden="0" customHeight="1">
      <x:c r="A110" s="68"/>
      <x:c r="B110" s="68"/>
      <x:c r="C110" s="68"/>
      <x:c r="D110" s="68"/>
      <x:c r="E110" s="68"/>
      <x:c r="F110" s="68"/>
      <x:c r="G110" s="68"/>
      <x:c r="H110" s="68"/>
      <x:c r="I110" s="68"/>
      <x:c r="J110" s="68"/>
      <x:c r="K110" s="68"/>
      <x:c r="L110" s="68"/>
      <x:c r="M110" s="68"/>
      <x:c r="N110" s="68"/>
      <x:c r="O110" s="68"/>
      <x:c r="P110" s="68"/>
      <x:c r="Q110" s="68"/>
      <x:c r="R110" s="68"/>
      <x:c r="S110" s="68"/>
    </x:row>
    <x:row r="111" ht="15" hidden="0" customHeight="1">
      <x:c r="A111" s="68"/>
      <x:c r="B111" s="68"/>
      <x:c r="C111" s="68"/>
      <x:c r="D111" s="68"/>
      <x:c r="E111" s="68"/>
      <x:c r="F111" s="68"/>
      <x:c r="G111" s="68"/>
      <x:c r="H111" s="68"/>
      <x:c r="I111" s="68"/>
      <x:c r="J111" s="68"/>
      <x:c r="K111" s="68"/>
      <x:c r="L111" s="68"/>
      <x:c r="M111" s="68"/>
      <x:c r="N111" s="68"/>
      <x:c r="O111" s="68"/>
      <x:c r="P111" s="68"/>
      <x:c r="Q111" s="68"/>
      <x:c r="R111" s="68"/>
      <x:c r="S111" s="68"/>
    </x:row>
    <x:row r="112" ht="15" hidden="0" customHeight="1">
      <x:c r="A112" s="68"/>
      <x:c r="B112" s="68"/>
      <x:c r="C112" s="68"/>
      <x:c r="D112" s="68"/>
      <x:c r="E112" s="68"/>
      <x:c r="F112" s="68"/>
      <x:c r="G112" s="68"/>
      <x:c r="H112" s="68"/>
      <x:c r="I112" s="68"/>
      <x:c r="J112" s="68"/>
      <x:c r="K112" s="68"/>
      <x:c r="L112" s="68"/>
      <x:c r="M112" s="68"/>
      <x:c r="N112" s="68"/>
      <x:c r="O112" s="68"/>
      <x:c r="P112" s="68"/>
      <x:c r="Q112" s="68"/>
      <x:c r="R112" s="68"/>
      <x:c r="S112" s="68"/>
    </x:row>
    <x:row r="113" ht="15" hidden="0" customHeight="1">
      <x:c r="A113" s="68"/>
      <x:c r="B113" s="68"/>
      <x:c r="C113" s="68"/>
      <x:c r="D113" s="68"/>
      <x:c r="E113" s="68"/>
      <x:c r="F113" s="68"/>
      <x:c r="G113" s="68"/>
      <x:c r="H113" s="68"/>
      <x:c r="I113" s="68"/>
      <x:c r="J113" s="68"/>
      <x:c r="K113" s="68"/>
      <x:c r="L113" s="68"/>
      <x:c r="M113" s="68"/>
      <x:c r="N113" s="68"/>
      <x:c r="O113" s="68"/>
      <x:c r="P113" s="68"/>
      <x:c r="Q113" s="68"/>
      <x:c r="R113" s="68"/>
      <x:c r="S113" s="68"/>
    </x:row>
    <x:row r="114" ht="15" hidden="0" customHeight="1">
      <x:c r="A114" s="68"/>
      <x:c r="B114" s="68"/>
      <x:c r="C114" s="68"/>
      <x:c r="D114" s="68"/>
      <x:c r="E114" s="68"/>
      <x:c r="F114" s="68"/>
      <x:c r="G114" s="68"/>
      <x:c r="H114" s="68"/>
      <x:c r="I114" s="68"/>
      <x:c r="J114" s="68"/>
      <x:c r="K114" s="68"/>
      <x:c r="L114" s="68"/>
      <x:c r="M114" s="68"/>
      <x:c r="N114" s="68"/>
      <x:c r="O114" s="68"/>
      <x:c r="P114" s="68"/>
      <x:c r="Q114" s="68"/>
      <x:c r="R114" s="68"/>
      <x:c r="S114" s="68"/>
    </x:row>
    <x:row r="115" ht="15" hidden="0" customHeight="1">
      <x:c r="A115" s="68"/>
      <x:c r="B115" s="68"/>
      <x:c r="C115" s="68"/>
      <x:c r="D115" s="68"/>
      <x:c r="E115" s="68"/>
      <x:c r="F115" s="68"/>
      <x:c r="G115" s="68"/>
      <x:c r="H115" s="68"/>
      <x:c r="I115" s="68"/>
      <x:c r="J115" s="68"/>
      <x:c r="K115" s="68"/>
      <x:c r="L115" s="68"/>
      <x:c r="M115" s="68"/>
      <x:c r="N115" s="68"/>
      <x:c r="O115" s="68"/>
      <x:c r="P115" s="68"/>
      <x:c r="Q115" s="68"/>
      <x:c r="R115" s="68"/>
      <x:c r="S115" s="68"/>
    </x:row>
    <x:row r="116" ht="15" hidden="0" customHeight="1">
      <x:c r="A116" s="68"/>
      <x:c r="B116" s="68"/>
      <x:c r="C116" s="68"/>
      <x:c r="D116" s="68"/>
      <x:c r="E116" s="68"/>
      <x:c r="F116" s="68"/>
      <x:c r="G116" s="68"/>
      <x:c r="H116" s="68"/>
      <x:c r="I116" s="68"/>
      <x:c r="J116" s="68"/>
      <x:c r="K116" s="68"/>
      <x:c r="L116" s="68"/>
      <x:c r="M116" s="68"/>
      <x:c r="N116" s="68"/>
      <x:c r="O116" s="68"/>
      <x:c r="P116" s="68"/>
      <x:c r="Q116" s="68"/>
      <x:c r="R116" s="68"/>
      <x:c r="S116" s="68"/>
    </x:row>
    <x:row r="117" ht="15" hidden="0" customHeight="1">
      <x:c r="A117" s="68"/>
      <x:c r="B117" s="68"/>
      <x:c r="C117" s="68"/>
      <x:c r="D117" s="68"/>
      <x:c r="E117" s="68"/>
      <x:c r="F117" s="68"/>
      <x:c r="G117" s="68"/>
      <x:c r="H117" s="68"/>
      <x:c r="I117" s="68"/>
      <x:c r="J117" s="68"/>
      <x:c r="K117" s="68"/>
      <x:c r="L117" s="68"/>
      <x:c r="M117" s="68"/>
      <x:c r="N117" s="68"/>
      <x:c r="O117" s="68"/>
      <x:c r="P117" s="68"/>
      <x:c r="Q117" s="68"/>
      <x:c r="R117" s="68"/>
      <x:c r="S117" s="68"/>
    </x:row>
    <x:row r="118" ht="15" hidden="0" customHeight="1">
      <x:c r="A118" s="68"/>
      <x:c r="B118" s="68"/>
      <x:c r="C118" s="68"/>
      <x:c r="D118" s="68"/>
      <x:c r="E118" s="68"/>
      <x:c r="F118" s="68"/>
      <x:c r="G118" s="68"/>
      <x:c r="H118" s="68"/>
      <x:c r="I118" s="68"/>
      <x:c r="J118" s="68"/>
      <x:c r="K118" s="68"/>
      <x:c r="L118" s="68"/>
      <x:c r="M118" s="68"/>
      <x:c r="N118" s="68"/>
      <x:c r="O118" s="68"/>
      <x:c r="P118" s="68"/>
      <x:c r="Q118" s="68"/>
      <x:c r="R118" s="68"/>
      <x:c r="S118" s="68"/>
    </x:row>
    <x:row r="119" ht="15" hidden="0" customHeight="1">
      <x:c r="A119" s="68"/>
      <x:c r="B119" s="68"/>
      <x:c r="C119" s="68"/>
      <x:c r="D119" s="68"/>
      <x:c r="E119" s="68"/>
      <x:c r="F119" s="68"/>
      <x:c r="G119" s="68"/>
      <x:c r="H119" s="68"/>
      <x:c r="I119" s="68"/>
      <x:c r="J119" s="68"/>
      <x:c r="K119" s="68"/>
      <x:c r="L119" s="68"/>
      <x:c r="M119" s="68"/>
      <x:c r="N119" s="68"/>
      <x:c r="O119" s="68"/>
      <x:c r="P119" s="68"/>
      <x:c r="Q119" s="68"/>
      <x:c r="R119" s="68"/>
      <x:c r="S119" s="68"/>
    </x:row>
    <x:row r="120" ht="15" hidden="0" customHeight="1">
      <x:c r="A120" s="68"/>
      <x:c r="B120" s="68"/>
      <x:c r="C120" s="68"/>
      <x:c r="D120" s="68"/>
      <x:c r="E120" s="68"/>
      <x:c r="F120" s="68"/>
      <x:c r="G120" s="68"/>
      <x:c r="H120" s="68"/>
      <x:c r="I120" s="68"/>
      <x:c r="J120" s="68"/>
      <x:c r="K120" s="68"/>
      <x:c r="L120" s="68"/>
      <x:c r="M120" s="68"/>
      <x:c r="N120" s="68"/>
      <x:c r="O120" s="68"/>
      <x:c r="P120" s="68"/>
      <x:c r="Q120" s="68"/>
      <x:c r="R120" s="68"/>
      <x:c r="S120" s="68"/>
    </x:row>
  </x:sheetData>
  <x:mergeCells>
    <x:mergeCell ref="C2:S2"/>
    <x:mergeCell ref="C3:S3"/>
    <x:mergeCell ref="C8:S8"/>
    <x:mergeCell ref="C14:S14"/>
    <x:mergeCell ref="C24:S24"/>
    <x:mergeCell ref="C33:G33"/>
  </x:mergeCells>
  <x:conditionalFormatting sqref="E21:N21">
    <x:cfRule type="cellIs" dxfId="0" priority="1" operator="lessThan">
      <x:formula>1.3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24" hidden="0" customWidth="1"/>
    <x:col min="4" max="4" width="24" hidden="0" customWidth="1"/>
    <x:col min="5" max="5" width="24" hidden="0" customWidth="1"/>
    <x:col min="6" max="6" width="46" hidden="0" customWidth="1"/>
    <x:col min="7" max="7" width="24" hidden="0" customWidth="1"/>
  </x:cols>
  <x:sheetData>
    <x:row r="1" ht="15" hidden="0" customHeight="1">
      <x:c r="A1" s="68"/>
      <x:c r="B1" s="68"/>
      <x:c r="C1" s="68"/>
      <x:c r="D1" s="68"/>
      <x:c r="E1" s="68"/>
      <x:c r="F1" s="68"/>
      <x:c r="G1" s="68"/>
      <x:c r="H1" s="68"/>
      <x:c r="I1" s="68"/>
      <x:c r="J1" s="68"/>
      <x:c r="K1" s="68"/>
      <x:c r="L1" s="68"/>
      <x:c r="M1" s="68"/>
      <x:c r="N1" s="68"/>
      <x:c r="O1" s="68"/>
      <x:c r="P1" s="68"/>
      <x:c r="Q1" s="68"/>
      <x:c r="R1" s="68"/>
    </x:row>
    <x:row r="2" ht="24" hidden="0" customHeight="1">
      <x:c r="A2" s="68"/>
      <x:c r="B2" s="68"/>
      <x:c r="C2" s="69" t="str">
        <x:v>Occupancy and Villa Yield Sensitivity</x:v>
      </x:c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</x:row>
    <x:row r="3" ht="24" hidden="0" customHeight="1">
      <x:c r="A3" s="68"/>
      <x:c r="B3" s="68"/>
      <x:c r="C3" s="71" t="str">
        <x:v>Live two-way tables. Change weeks or package utilization to see accommodation effects without altering the operating model.</x:v>
      </x:c>
      <x:c r="D3" s="68"/>
      <x:c r="E3" s="68"/>
      <x:c r="F3" s="68"/>
      <x:c r="G3" s="68"/>
      <x:c r="H3" s="68"/>
      <x:c r="I3" s="68"/>
      <x:c r="J3" s="68"/>
      <x:c r="K3" s="68"/>
      <x:c r="L3" s="68"/>
      <x:c r="M3" s="68"/>
      <x:c r="N3" s="68"/>
      <x:c r="O3" s="68"/>
      <x:c r="P3" s="68"/>
      <x:c r="Q3" s="68"/>
      <x:c r="R3" s="68"/>
    </x:row>
    <x:row r="4" ht="15" hidden="0" customHeight="1">
      <x:c r="A4" s="68"/>
      <x:c r="B4" s="68"/>
      <x:c r="C4" s="68"/>
      <x:c r="D4" s="68"/>
      <x:c r="E4" s="68"/>
      <x:c r="F4" s="68"/>
      <x:c r="G4" s="68"/>
      <x:c r="H4" s="68"/>
      <x:c r="I4" s="68"/>
      <x:c r="J4" s="68"/>
      <x:c r="K4" s="68"/>
      <x:c r="L4" s="68"/>
      <x:c r="M4" s="68"/>
      <x:c r="N4" s="68"/>
      <x:c r="O4" s="68"/>
      <x:c r="P4" s="68"/>
      <x:c r="Q4" s="68"/>
      <x:c r="R4" s="68"/>
    </x:row>
    <x:row r="5" ht="15" hidden="0" customHeight="1">
      <x:c r="A5" s="68"/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</x:row>
    <x:row r="6" ht="15" hidden="0" customHeight="1">
      <x:c r="A6" s="68"/>
      <x:c r="B6" s="68"/>
      <x:c r="C6" s="11" t="str">
        <x:v>Annual Occupancy</x:v>
      </x:c>
      <x:c r="D6" s="12"/>
      <x:c r="E6" s="12"/>
      <x:c r="F6" s="12"/>
      <x:c r="G6" s="13"/>
      <x:c r="H6" s="68"/>
      <x:c r="I6" s="68"/>
      <x:c r="J6" s="68"/>
      <x:c r="K6" s="68"/>
      <x:c r="L6" s="68"/>
      <x:c r="M6" s="68"/>
      <x:c r="N6" s="68"/>
      <x:c r="O6" s="68"/>
      <x:c r="P6" s="68"/>
      <x:c r="Q6" s="68"/>
      <x:c r="R6" s="68"/>
    </x:row>
    <x:row r="7" ht="15" hidden="0" customHeight="1">
      <x:c r="A7" s="68"/>
      <x:c r="B7" s="68"/>
      <x:c r="C7" s="19" t="str">
        <x:v>Package utilization</x:v>
      </x:c>
      <x:c r="D7" s="19" t="str">
        <x:v>40 weeks</x:v>
      </x:c>
      <x:c r="E7" s="19" t="str">
        <x:v>44 weeks</x:v>
      </x:c>
      <x:c r="F7" s="19" t="str">
        <x:v>48 weeks</x:v>
      </x:c>
      <x:c r="G7" s="19" t="str">
        <x:v>52 weeks</x:v>
      </x:c>
      <x:c r="H7" s="68"/>
      <x:c r="I7" s="68"/>
      <x:c r="J7" s="68"/>
      <x:c r="K7" s="68"/>
      <x:c r="L7" s="68"/>
      <x:c r="M7" s="68"/>
      <x:c r="N7" s="68"/>
      <x:c r="O7" s="68"/>
      <x:c r="P7" s="68"/>
      <x:c r="Q7" s="68"/>
      <x:c r="R7" s="68"/>
    </x:row>
    <x:row r="8" ht="15" hidden="0" customHeight="1">
      <x:c r="A8" s="68"/>
      <x:c r="B8" s="68"/>
      <x:c r="C8" s="72" t="n">
        <x:v>0.6</x:v>
      </x:c>
      <x:c r="D8" s="88" t="n">
        <x:f>('Assumptions'!$D$21*365*'Assumptions'!$D$23+(MIN('Assumptions'!$D$21,'Assumptions'!$D$21*'Assumptions'!$D$24+'Assumptions'!$D$26*$C8/'Assumptions'!$D$22)-'Assumptions'!$D$21*'Assumptions'!$D$24)*'Assumptions'!$D$27*40)/('Assumptions'!$D$21*365)</x:f>
        <x:v>0.513013698630137</x:v>
      </x:c>
      <x:c r="E8" s="88" t="n">
        <x:f>('Assumptions'!$D$21*365*'Assumptions'!$D$23+(MIN('Assumptions'!$D$21,'Assumptions'!$D$21*'Assumptions'!$D$24+'Assumptions'!$D$26*$C8/'Assumptions'!$D$22)-'Assumptions'!$D$21*'Assumptions'!$D$24)*'Assumptions'!$D$27*44)/('Assumptions'!$D$21*365)</x:f>
        <x:v>0.5393150684931507</x:v>
      </x:c>
      <x:c r="F8" s="88" t="n">
        <x:f>('Assumptions'!$D$21*365*'Assumptions'!$D$23+(MIN('Assumptions'!$D$21,'Assumptions'!$D$21*'Assumptions'!$D$24+'Assumptions'!$D$26*$C8/'Assumptions'!$D$22)-'Assumptions'!$D$21*'Assumptions'!$D$24)*'Assumptions'!$D$27*48)/('Assumptions'!$D$21*365)</x:f>
        <x:v>0.5656164383561644</x:v>
      </x:c>
      <x:c r="G8" s="88" t="n">
        <x:f>('Assumptions'!$D$21*365*'Assumptions'!$D$23+(MIN('Assumptions'!$D$21,'Assumptions'!$D$21*'Assumptions'!$D$24+'Assumptions'!$D$26*$C8/'Assumptions'!$D$22)-'Assumptions'!$D$21*'Assumptions'!$D$24)*'Assumptions'!$D$27*52)/('Assumptions'!$D$21*365)</x:f>
        <x:v>0.591917808219178</x:v>
      </x:c>
      <x:c r="H8" s="68"/>
      <x:c r="I8" s="68"/>
      <x:c r="J8" s="68"/>
      <x:c r="K8" s="68"/>
      <x:c r="L8" s="68"/>
      <x:c r="M8" s="68"/>
      <x:c r="N8" s="68"/>
      <x:c r="O8" s="68"/>
      <x:c r="P8" s="68"/>
      <x:c r="Q8" s="68"/>
      <x:c r="R8" s="68"/>
    </x:row>
    <x:row r="9" ht="15" hidden="0" customHeight="1">
      <x:c r="A9" s="68"/>
      <x:c r="B9" s="68"/>
      <x:c r="C9" s="72" t="n">
        <x:v>0.7</x:v>
      </x:c>
      <x:c r="D9" s="88" t="n">
        <x:f>('Assumptions'!$D$21*365*'Assumptions'!$D$23+(MIN('Assumptions'!$D$21,'Assumptions'!$D$21*'Assumptions'!$D$24+'Assumptions'!$D$26*$C9/'Assumptions'!$D$22)-'Assumptions'!$D$21*'Assumptions'!$D$24)*'Assumptions'!$D$27*40)/('Assumptions'!$D$21*365)</x:f>
        <x:v>0.5568493150684931</x:v>
      </x:c>
      <x:c r="E9" s="88" t="n">
        <x:f>('Assumptions'!$D$21*365*'Assumptions'!$D$23+(MIN('Assumptions'!$D$21,'Assumptions'!$D$21*'Assumptions'!$D$24+'Assumptions'!$D$26*$C9/'Assumptions'!$D$22)-'Assumptions'!$D$21*'Assumptions'!$D$24)*'Assumptions'!$D$27*44)/('Assumptions'!$D$21*365)</x:f>
        <x:v>0.5875342465753425</x:v>
      </x:c>
      <x:c r="F9" s="88" t="n">
        <x:f>('Assumptions'!$D$21*365*'Assumptions'!$D$23+(MIN('Assumptions'!$D$21,'Assumptions'!$D$21*'Assumptions'!$D$24+'Assumptions'!$D$26*$C9/'Assumptions'!$D$22)-'Assumptions'!$D$21*'Assumptions'!$D$24)*'Assumptions'!$D$27*48)/('Assumptions'!$D$21*365)</x:f>
        <x:v>0.6182191780821917</x:v>
      </x:c>
      <x:c r="G9" s="88" t="n">
        <x:f>('Assumptions'!$D$21*365*'Assumptions'!$D$23+(MIN('Assumptions'!$D$21,'Assumptions'!$D$21*'Assumptions'!$D$24+'Assumptions'!$D$26*$C9/'Assumptions'!$D$22)-'Assumptions'!$D$21*'Assumptions'!$D$24)*'Assumptions'!$D$27*52)/('Assumptions'!$D$21*365)</x:f>
        <x:v>0.6489041095890411</x:v>
      </x:c>
      <x:c r="H9" s="68"/>
      <x:c r="I9" s="68"/>
      <x:c r="J9" s="68"/>
      <x:c r="K9" s="68"/>
      <x:c r="L9" s="68"/>
      <x:c r="M9" s="68"/>
      <x:c r="N9" s="68"/>
      <x:c r="O9" s="68"/>
      <x:c r="P9" s="68"/>
      <x:c r="Q9" s="68"/>
      <x:c r="R9" s="68"/>
    </x:row>
    <x:row r="10" ht="15" hidden="0" customHeight="1">
      <x:c r="A10" s="68"/>
      <x:c r="B10" s="68"/>
      <x:c r="C10" s="72" t="n">
        <x:v>0.8</x:v>
      </x:c>
      <x:c r="D10" s="88" t="n">
        <x:f>('Assumptions'!$D$21*365*'Assumptions'!$D$23+(MIN('Assumptions'!$D$21,'Assumptions'!$D$21*'Assumptions'!$D$24+'Assumptions'!$D$26*$C10/'Assumptions'!$D$22)-'Assumptions'!$D$21*'Assumptions'!$D$24)*'Assumptions'!$D$27*40)/('Assumptions'!$D$21*365)</x:f>
        <x:v>0.6006849315068493</x:v>
      </x:c>
      <x:c r="E10" s="88" t="n">
        <x:f>('Assumptions'!$D$21*365*'Assumptions'!$D$23+(MIN('Assumptions'!$D$21,'Assumptions'!$D$21*'Assumptions'!$D$24+'Assumptions'!$D$26*$C10/'Assumptions'!$D$22)-'Assumptions'!$D$21*'Assumptions'!$D$24)*'Assumptions'!$D$27*44)/('Assumptions'!$D$21*365)</x:f>
        <x:v>0.6357534246575343</x:v>
      </x:c>
      <x:c r="F10" s="88" t="n">
        <x:f>('Assumptions'!$D$21*365*'Assumptions'!$D$23+(MIN('Assumptions'!$D$21,'Assumptions'!$D$21*'Assumptions'!$D$24+'Assumptions'!$D$26*$C10/'Assumptions'!$D$22)-'Assumptions'!$D$21*'Assumptions'!$D$24)*'Assumptions'!$D$27*48)/('Assumptions'!$D$21*365)</x:f>
        <x:v>0.6708219178082192</x:v>
      </x:c>
      <x:c r="G10" s="88" t="n">
        <x:f>('Assumptions'!$D$21*365*'Assumptions'!$D$23+(MIN('Assumptions'!$D$21,'Assumptions'!$D$21*'Assumptions'!$D$24+'Assumptions'!$D$26*$C10/'Assumptions'!$D$22)-'Assumptions'!$D$21*'Assumptions'!$D$24)*'Assumptions'!$D$27*52)/('Assumptions'!$D$21*365)</x:f>
        <x:v>0.7058904109589041</x:v>
      </x:c>
      <x:c r="H10" s="68"/>
      <x:c r="I10" s="68"/>
      <x:c r="J10" s="68"/>
      <x:c r="K10" s="68"/>
      <x:c r="L10" s="68"/>
      <x:c r="M10" s="68"/>
      <x:c r="N10" s="68"/>
      <x:c r="O10" s="68"/>
      <x:c r="P10" s="68"/>
      <x:c r="Q10" s="68"/>
      <x:c r="R10" s="68"/>
    </x:row>
    <x:row r="11" ht="15" hidden="0" customHeight="1">
      <x:c r="A11" s="68"/>
      <x:c r="B11" s="68"/>
      <x:c r="C11" s="72" t="n">
        <x:v>0.9</x:v>
      </x:c>
      <x:c r="D11" s="88" t="n">
        <x:f>('Assumptions'!$D$21*365*'Assumptions'!$D$23+(MIN('Assumptions'!$D$21,'Assumptions'!$D$21*'Assumptions'!$D$24+'Assumptions'!$D$26*$C11/'Assumptions'!$D$22)-'Assumptions'!$D$21*'Assumptions'!$D$24)*'Assumptions'!$D$27*40)/('Assumptions'!$D$21*365)</x:f>
        <x:v>0.6445205479452055</x:v>
      </x:c>
      <x:c r="E11" s="88" t="n">
        <x:f>('Assumptions'!$D$21*365*'Assumptions'!$D$23+(MIN('Assumptions'!$D$21,'Assumptions'!$D$21*'Assumptions'!$D$24+'Assumptions'!$D$26*$C11/'Assumptions'!$D$22)-'Assumptions'!$D$21*'Assumptions'!$D$24)*'Assumptions'!$D$27*44)/('Assumptions'!$D$21*365)</x:f>
        <x:v>0.683972602739726</x:v>
      </x:c>
      <x:c r="F11" s="88" t="n">
        <x:f>('Assumptions'!$D$21*365*'Assumptions'!$D$23+(MIN('Assumptions'!$D$21,'Assumptions'!$D$21*'Assumptions'!$D$24+'Assumptions'!$D$26*$C11/'Assumptions'!$D$22)-'Assumptions'!$D$21*'Assumptions'!$D$24)*'Assumptions'!$D$27*48)/('Assumptions'!$D$21*365)</x:f>
        <x:v>0.7234246575342466</x:v>
      </x:c>
      <x:c r="G11" s="88" t="n">
        <x:f>('Assumptions'!$D$21*365*'Assumptions'!$D$23+(MIN('Assumptions'!$D$21,'Assumptions'!$D$21*'Assumptions'!$D$24+'Assumptions'!$D$26*$C11/'Assumptions'!$D$22)-'Assumptions'!$D$21*'Assumptions'!$D$24)*'Assumptions'!$D$27*52)/('Assumptions'!$D$21*365)</x:f>
        <x:v>0.7628767123287671</x:v>
      </x:c>
      <x:c r="H11" s="68"/>
      <x:c r="I11" s="68"/>
      <x:c r="J11" s="68"/>
      <x:c r="K11" s="68"/>
      <x:c r="L11" s="68"/>
      <x:c r="M11" s="68"/>
      <x:c r="N11" s="68"/>
      <x:c r="O11" s="68"/>
      <x:c r="P11" s="68"/>
      <x:c r="Q11" s="68"/>
      <x:c r="R11" s="68"/>
    </x:row>
    <x:row r="12" ht="15" hidden="0" customHeight="1">
      <x:c r="A12" s="68"/>
      <x:c r="B12" s="68"/>
      <x:c r="C12" s="72" t="n">
        <x:v>1</x:v>
      </x:c>
      <x:c r="D12" s="88" t="n">
        <x:f>('Assumptions'!$D$21*365*'Assumptions'!$D$23+(MIN('Assumptions'!$D$21,'Assumptions'!$D$21*'Assumptions'!$D$24+'Assumptions'!$D$26*$C12/'Assumptions'!$D$22)-'Assumptions'!$D$21*'Assumptions'!$D$24)*'Assumptions'!$D$27*40)/('Assumptions'!$D$21*365)</x:f>
        <x:v>0.6664383561643835</x:v>
      </x:c>
      <x:c r="E12" s="88" t="n">
        <x:f>('Assumptions'!$D$21*365*'Assumptions'!$D$23+(MIN('Assumptions'!$D$21,'Assumptions'!$D$21*'Assumptions'!$D$24+'Assumptions'!$D$26*$C12/'Assumptions'!$D$22)-'Assumptions'!$D$21*'Assumptions'!$D$24)*'Assumptions'!$D$27*44)/('Assumptions'!$D$21*365)</x:f>
        <x:v>0.7080821917808219</x:v>
      </x:c>
      <x:c r="F12" s="88" t="n">
        <x:f>('Assumptions'!$D$21*365*'Assumptions'!$D$23+(MIN('Assumptions'!$D$21,'Assumptions'!$D$21*'Assumptions'!$D$24+'Assumptions'!$D$26*$C12/'Assumptions'!$D$22)-'Assumptions'!$D$21*'Assumptions'!$D$24)*'Assumptions'!$D$27*48)/('Assumptions'!$D$21*365)</x:f>
        <x:v>0.7497260273972602</x:v>
      </x:c>
      <x:c r="G12" s="88" t="n">
        <x:f>('Assumptions'!$D$21*365*'Assumptions'!$D$23+(MIN('Assumptions'!$D$21,'Assumptions'!$D$21*'Assumptions'!$D$24+'Assumptions'!$D$26*$C12/'Assumptions'!$D$22)-'Assumptions'!$D$21*'Assumptions'!$D$24)*'Assumptions'!$D$27*52)/('Assumptions'!$D$21*365)</x:f>
        <x:v>0.7913698630136986</x:v>
      </x:c>
      <x:c r="H12" s="68"/>
      <x:c r="I12" s="68"/>
      <x:c r="J12" s="68"/>
      <x:c r="K12" s="68"/>
      <x:c r="L12" s="68"/>
      <x:c r="M12" s="68"/>
      <x:c r="N12" s="68"/>
      <x:c r="O12" s="68"/>
      <x:c r="P12" s="68"/>
      <x:c r="Q12" s="68"/>
      <x:c r="R12" s="68"/>
    </x:row>
    <x:row r="13" ht="15" hidden="0" customHeight="1">
      <x:c r="A13" s="68"/>
      <x:c r="B13" s="68"/>
      <x:c r="C13" s="68"/>
      <x:c r="D13" s="68"/>
      <x:c r="E13" s="68"/>
      <x:c r="F13" s="68"/>
      <x:c r="G13" s="68"/>
      <x:c r="H13" s="68"/>
      <x:c r="I13" s="68"/>
      <x:c r="J13" s="68"/>
      <x:c r="K13" s="68"/>
      <x:c r="L13" s="68"/>
      <x:c r="M13" s="68"/>
      <x:c r="N13" s="68"/>
      <x:c r="O13" s="68"/>
      <x:c r="P13" s="68"/>
      <x:c r="Q13" s="68"/>
      <x:c r="R13" s="68"/>
    </x:row>
    <x:row r="14" ht="15" hidden="0" customHeight="1">
      <x:c r="A14" s="68"/>
      <x:c r="B14" s="68"/>
      <x:c r="C14" s="68"/>
      <x:c r="D14" s="68"/>
      <x:c r="E14" s="68"/>
      <x:c r="F14" s="68"/>
      <x:c r="G14" s="68"/>
      <x:c r="H14" s="68"/>
      <x:c r="I14" s="68"/>
      <x:c r="J14" s="68"/>
      <x:c r="K14" s="68"/>
      <x:c r="L14" s="68"/>
      <x:c r="M14" s="68"/>
      <x:c r="N14" s="68"/>
      <x:c r="O14" s="68"/>
      <x:c r="P14" s="68"/>
      <x:c r="Q14" s="68"/>
      <x:c r="R14" s="68"/>
    </x:row>
    <x:row r="15" ht="15" hidden="0" customHeight="1">
      <x:c r="A15" s="68"/>
      <x:c r="B15" s="68"/>
      <x:c r="C15" s="68"/>
      <x:c r="D15" s="68"/>
      <x:c r="E15" s="68"/>
      <x:c r="F15" s="68"/>
      <x:c r="G15" s="68"/>
      <x:c r="H15" s="68"/>
      <x:c r="I15" s="68"/>
      <x:c r="J15" s="68"/>
      <x:c r="K15" s="68"/>
      <x:c r="L15" s="68"/>
      <x:c r="M15" s="68"/>
      <x:c r="N15" s="68"/>
      <x:c r="O15" s="68"/>
      <x:c r="P15" s="68"/>
      <x:c r="Q15" s="68"/>
      <x:c r="R15" s="68"/>
    </x:row>
    <x:row r="16" ht="15" hidden="0" customHeight="1">
      <x:c r="A16" s="68"/>
      <x:c r="B16" s="68"/>
      <x:c r="C16" s="11" t="str">
        <x:v>Villa Owner Cash Yield</x:v>
      </x:c>
      <x:c r="D16" s="12"/>
      <x:c r="E16" s="12"/>
      <x:c r="F16" s="12"/>
      <x:c r="G16" s="13"/>
      <x:c r="H16" s="68"/>
      <x:c r="I16" s="68"/>
      <x:c r="J16" s="68"/>
      <x:c r="K16" s="68"/>
      <x:c r="L16" s="68"/>
      <x:c r="M16" s="68"/>
      <x:c r="N16" s="68"/>
      <x:c r="O16" s="68"/>
      <x:c r="P16" s="68"/>
      <x:c r="Q16" s="68"/>
      <x:c r="R16" s="68"/>
    </x:row>
    <x:row r="17" ht="15" hidden="0" customHeight="1">
      <x:c r="A17" s="68"/>
      <x:c r="B17" s="68"/>
      <x:c r="C17" s="19" t="str">
        <x:v>Package utilization</x:v>
      </x:c>
      <x:c r="D17" s="19" t="str">
        <x:v>40 weeks</x:v>
      </x:c>
      <x:c r="E17" s="19" t="str">
        <x:v>44 weeks</x:v>
      </x:c>
      <x:c r="F17" s="19" t="str">
        <x:v>48 weeks</x:v>
      </x:c>
      <x:c r="G17" s="19" t="str">
        <x:v>52 weeks</x:v>
      </x:c>
      <x:c r="H17" s="68"/>
      <x:c r="I17" s="68"/>
      <x:c r="J17" s="68"/>
      <x:c r="K17" s="68"/>
      <x:c r="L17" s="68"/>
      <x:c r="M17" s="68"/>
      <x:c r="N17" s="68"/>
      <x:c r="O17" s="68"/>
      <x:c r="P17" s="68"/>
      <x:c r="Q17" s="68"/>
      <x:c r="R17" s="68"/>
    </x:row>
    <x:row r="18" ht="15" hidden="0" customHeight="1">
      <x:c r="A18" s="68"/>
      <x:c r="B18" s="68"/>
      <x:c r="C18" s="72" t="n">
        <x:v>0.6</x:v>
      </x:c>
      <x:c r="D18" s="88" t="n">
        <x:f>D8*365*'Assumptions'!$D$25*'Assumptions'!$D$54/'Assumptions'!$D$53</x:f>
        <x:v>0.06865833333333335</x:v>
      </x:c>
      <x:c r="E18" s="88" t="n">
        <x:f>E8*365*'Assumptions'!$D$25*'Assumptions'!$D$54/'Assumptions'!$D$53</x:f>
        <x:v>0.07217833333333334</x:v>
      </x:c>
      <x:c r="F18" s="88" t="n">
        <x:f>F8*365*'Assumptions'!$D$25*'Assumptions'!$D$54/'Assumptions'!$D$53</x:f>
        <x:v>0.07569833333333334</x:v>
      </x:c>
      <x:c r="G18" s="88" t="n">
        <x:f>G8*365*'Assumptions'!$D$25*'Assumptions'!$D$54/'Assumptions'!$D$53</x:f>
        <x:v>0.07921833333333334</x:v>
      </x:c>
      <x:c r="H18" s="68"/>
      <x:c r="I18" s="68"/>
      <x:c r="J18" s="68"/>
      <x:c r="K18" s="68"/>
      <x:c r="L18" s="68"/>
      <x:c r="M18" s="68"/>
      <x:c r="N18" s="68"/>
      <x:c r="O18" s="68"/>
      <x:c r="P18" s="68"/>
      <x:c r="Q18" s="68"/>
      <x:c r="R18" s="68"/>
    </x:row>
    <x:row r="19" ht="15" hidden="0" customHeight="1">
      <x:c r="A19" s="68"/>
      <x:c r="B19" s="68"/>
      <x:c r="C19" s="72" t="n">
        <x:v>0.7</x:v>
      </x:c>
      <x:c r="D19" s="88" t="n">
        <x:f>D9*365*'Assumptions'!$D$25*'Assumptions'!$D$54/'Assumptions'!$D$53</x:f>
        <x:v>0.074525</x:v>
      </x:c>
      <x:c r="E19" s="88" t="n">
        <x:f>E9*365*'Assumptions'!$D$25*'Assumptions'!$D$54/'Assumptions'!$D$53</x:f>
        <x:v>0.07863166666666668</x:v>
      </x:c>
      <x:c r="F19" s="88" t="n">
        <x:f>F9*365*'Assumptions'!$D$25*'Assumptions'!$D$54/'Assumptions'!$D$53</x:f>
        <x:v>0.08273833333333333</x:v>
      </x:c>
      <x:c r="G19" s="88" t="n">
        <x:f>G9*365*'Assumptions'!$D$25*'Assumptions'!$D$54/'Assumptions'!$D$53</x:f>
        <x:v>0.086845</x:v>
      </x:c>
      <x:c r="H19" s="68"/>
      <x:c r="I19" s="68"/>
      <x:c r="J19" s="68"/>
      <x:c r="K19" s="68"/>
      <x:c r="L19" s="68"/>
      <x:c r="M19" s="68"/>
      <x:c r="N19" s="68"/>
      <x:c r="O19" s="68"/>
      <x:c r="P19" s="68"/>
      <x:c r="Q19" s="68"/>
      <x:c r="R19" s="68"/>
    </x:row>
    <x:row r="20" ht="15" hidden="0" customHeight="1">
      <x:c r="A20" s="68"/>
      <x:c r="B20" s="68"/>
      <x:c r="C20" s="72" t="n">
        <x:v>0.8</x:v>
      </x:c>
      <x:c r="D20" s="88" t="n">
        <x:f>D10*365*'Assumptions'!$D$25*'Assumptions'!$D$54/'Assumptions'!$D$53</x:f>
        <x:v>0.08039166666666668</x:v>
      </x:c>
      <x:c r="E20" s="88" t="n">
        <x:f>E10*365*'Assumptions'!$D$25*'Assumptions'!$D$54/'Assumptions'!$D$53</x:f>
        <x:v>0.08508500000000001</x:v>
      </x:c>
      <x:c r="F20" s="88" t="n">
        <x:f>F10*365*'Assumptions'!$D$25*'Assumptions'!$D$54/'Assumptions'!$D$53</x:f>
        <x:v>0.08977833333333335</x:v>
      </x:c>
      <x:c r="G20" s="88" t="n">
        <x:f>G10*365*'Assumptions'!$D$25*'Assumptions'!$D$54/'Assumptions'!$D$53</x:f>
        <x:v>0.09447166666666669</x:v>
      </x:c>
      <x:c r="H20" s="68"/>
      <x:c r="I20" s="68"/>
      <x:c r="J20" s="68"/>
      <x:c r="K20" s="68"/>
      <x:c r="L20" s="68"/>
      <x:c r="M20" s="68"/>
      <x:c r="N20" s="68"/>
      <x:c r="O20" s="68"/>
      <x:c r="P20" s="68"/>
      <x:c r="Q20" s="68"/>
      <x:c r="R20" s="68"/>
    </x:row>
    <x:row r="21" ht="15" hidden="0" customHeight="1">
      <x:c r="A21" s="68"/>
      <x:c r="B21" s="68"/>
      <x:c r="C21" s="72" t="n">
        <x:v>0.9</x:v>
      </x:c>
      <x:c r="D21" s="88" t="n">
        <x:f>D11*365*'Assumptions'!$D$25*'Assumptions'!$D$54/'Assumptions'!$D$53</x:f>
        <x:v>0.08625833333333335</x:v>
      </x:c>
      <x:c r="E21" s="88" t="n">
        <x:f>E11*365*'Assumptions'!$D$25*'Assumptions'!$D$54/'Assumptions'!$D$53</x:f>
        <x:v>0.09153833333333333</x:v>
      </x:c>
      <x:c r="F21" s="88" t="n">
        <x:f>F11*365*'Assumptions'!$D$25*'Assumptions'!$D$54/'Assumptions'!$D$53</x:f>
        <x:v>0.09681833333333334</x:v>
      </x:c>
      <x:c r="G21" s="88" t="n">
        <x:f>G11*365*'Assumptions'!$D$25*'Assumptions'!$D$54/'Assumptions'!$D$53</x:f>
        <x:v>0.10209833333333333</x:v>
      </x:c>
      <x:c r="H21" s="68"/>
      <x:c r="I21" s="68"/>
      <x:c r="J21" s="68"/>
      <x:c r="K21" s="68"/>
      <x:c r="L21" s="68"/>
      <x:c r="M21" s="68"/>
      <x:c r="N21" s="68"/>
      <x:c r="O21" s="68"/>
      <x:c r="P21" s="68"/>
      <x:c r="Q21" s="68"/>
      <x:c r="R21" s="68"/>
    </x:row>
    <x:row r="22" ht="15" hidden="0" customHeight="1">
      <x:c r="A22" s="68"/>
      <x:c r="B22" s="68"/>
      <x:c r="C22" s="72" t="n">
        <x:v>1</x:v>
      </x:c>
      <x:c r="D22" s="88" t="n">
        <x:f>D12*365*'Assumptions'!$D$25*'Assumptions'!$D$54/'Assumptions'!$D$53</x:f>
        <x:v>0.08919166666666667</x:v>
      </x:c>
      <x:c r="E22" s="88" t="n">
        <x:f>E12*365*'Assumptions'!$D$25*'Assumptions'!$D$54/'Assumptions'!$D$53</x:f>
        <x:v>0.094765</x:v>
      </x:c>
      <x:c r="F22" s="88" t="n">
        <x:f>F12*365*'Assumptions'!$D$25*'Assumptions'!$D$54/'Assumptions'!$D$53</x:f>
        <x:v>0.10033833333333333</x:v>
      </x:c>
      <x:c r="G22" s="88" t="n">
        <x:f>G12*365*'Assumptions'!$D$25*'Assumptions'!$D$54/'Assumptions'!$D$53</x:f>
        <x:v>0.10591166666666664</x:v>
      </x:c>
      <x:c r="H22" s="68"/>
      <x:c r="I22" s="68"/>
      <x:c r="J22" s="68"/>
      <x:c r="K22" s="68"/>
      <x:c r="L22" s="68"/>
      <x:c r="M22" s="68"/>
      <x:c r="N22" s="68"/>
      <x:c r="O22" s="68"/>
      <x:c r="P22" s="68"/>
      <x:c r="Q22" s="68"/>
      <x:c r="R22" s="68"/>
    </x:row>
    <x:row r="23" ht="15" hidden="0" customHeight="1">
      <x:c r="A23" s="68"/>
      <x:c r="B23" s="68"/>
      <x:c r="C23" s="68"/>
      <x:c r="D23" s="68"/>
      <x:c r="E23" s="68"/>
      <x:c r="F23" s="68"/>
      <x:c r="G23" s="68"/>
      <x:c r="H23" s="68"/>
      <x:c r="I23" s="68"/>
      <x:c r="J23" s="68"/>
      <x:c r="K23" s="68"/>
      <x:c r="L23" s="68"/>
      <x:c r="M23" s="68"/>
      <x:c r="N23" s="68"/>
      <x:c r="O23" s="68"/>
      <x:c r="P23" s="68"/>
      <x:c r="Q23" s="68"/>
      <x:c r="R23" s="68"/>
    </x:row>
    <x:row r="24" ht="15" hidden="0" customHeight="1">
      <x:c r="A24" s="68"/>
      <x:c r="B24" s="68"/>
      <x:c r="C24" s="68"/>
      <x:c r="D24" s="68"/>
      <x:c r="E24" s="68"/>
      <x:c r="F24" s="68"/>
      <x:c r="G24" s="68"/>
      <x:c r="H24" s="68"/>
      <x:c r="I24" s="68"/>
      <x:c r="J24" s="68"/>
      <x:c r="K24" s="68"/>
      <x:c r="L24" s="68"/>
      <x:c r="M24" s="68"/>
      <x:c r="N24" s="68"/>
      <x:c r="O24" s="68"/>
      <x:c r="P24" s="68"/>
      <x:c r="Q24" s="68"/>
      <x:c r="R24" s="68"/>
    </x:row>
    <x:row r="25" ht="15" hidden="0" customHeight="1">
      <x:c r="A25" s="68"/>
      <x:c r="B25" s="68"/>
      <x:c r="C25" s="68"/>
      <x:c r="D25" s="68"/>
      <x:c r="E25" s="68"/>
      <x:c r="F25" s="68"/>
      <x:c r="G25" s="68"/>
      <x:c r="H25" s="68"/>
      <x:c r="I25" s="68"/>
      <x:c r="J25" s="68"/>
      <x:c r="K25" s="68"/>
      <x:c r="L25" s="68"/>
      <x:c r="M25" s="68"/>
      <x:c r="N25" s="68"/>
      <x:c r="O25" s="68"/>
      <x:c r="P25" s="68"/>
      <x:c r="Q25" s="68"/>
      <x:c r="R25" s="68"/>
    </x:row>
    <x:row r="26" ht="15" hidden="0" customHeight="1">
      <x:c r="A26" s="68"/>
      <x:c r="B26" s="68"/>
      <x:c r="C26" s="11" t="str">
        <x:v>Interpretation</x:v>
      </x:c>
      <x:c r="D26" s="12"/>
      <x:c r="E26" s="12"/>
      <x:c r="F26" s="13"/>
      <x:c r="G26" s="68"/>
      <x:c r="H26" s="68"/>
      <x:c r="I26" s="68"/>
      <x:c r="J26" s="68"/>
      <x:c r="K26" s="68"/>
      <x:c r="L26" s="68"/>
      <x:c r="M26" s="68"/>
      <x:c r="N26" s="68"/>
      <x:c r="O26" s="68"/>
      <x:c r="P26" s="68"/>
      <x:c r="Q26" s="68"/>
      <x:c r="R26" s="68"/>
    </x:row>
    <x:row r="27" ht="15" hidden="0" customHeight="1">
      <x:c r="A27" s="68"/>
      <x:c r="B27" s="68"/>
      <x:c r="C27" s="19" t="str">
        <x:v>Question</x:v>
      </x:c>
      <x:c r="D27" s="19" t="str">
        <x:v>Answer</x:v>
      </x:c>
      <x:c r="E27" s="19" t="str">
        <x:v>Decision use</x:v>
      </x:c>
      <x:c r="F27" s="19" t="str">
        <x:v>Caveat</x:v>
      </x:c>
      <x:c r="G27" s="68"/>
      <x:c r="H27" s="68"/>
      <x:c r="I27" s="68"/>
      <x:c r="J27" s="68"/>
      <x:c r="K27" s="68"/>
      <x:c r="L27" s="68"/>
      <x:c r="M27" s="68"/>
      <x:c r="N27" s="68"/>
      <x:c r="O27" s="68"/>
      <x:c r="P27" s="68"/>
      <x:c r="Q27" s="68"/>
      <x:c r="R27" s="68"/>
    </x:row>
    <x:row r="28" ht="15" hidden="0" customHeight="1">
      <x:c r="A28" s="68"/>
      <x:c r="B28" s="68"/>
      <x:c r="C28" s="68" t="str">
        <x:v>Can six sites fill current rooms?</x:v>
      </x:c>
      <x:c r="D28" s="68" t="str">
        <x:v>Yes, at 600 guests/week</x:v>
      </x:c>
      <x:c r="E28" s="68" t="str">
        <x:v>Prioritize weekday sales contracts</x:v>
      </x:c>
      <x:c r="F28" s="68" t="str">
        <x:v>Requires two 100-person sessions per site per day</x:v>
      </x:c>
      <x:c r="G28" s="68"/>
      <x:c r="H28" s="68"/>
      <x:c r="I28" s="68"/>
      <x:c r="J28" s="68"/>
      <x:c r="K28" s="68"/>
      <x:c r="L28" s="68"/>
      <x:c r="M28" s="68"/>
      <x:c r="N28" s="68"/>
      <x:c r="O28" s="68"/>
      <x:c r="P28" s="68"/>
      <x:c r="Q28" s="68"/>
      <x:c r="R28" s="68"/>
    </x:row>
    <x:row r="29" ht="15" hidden="0" customHeight="1">
      <x:c r="A29" s="68"/>
      <x:c r="B29" s="68"/>
      <x:c r="C29" s="68" t="str">
        <x:v>Does Stage 1 justify 300 new rooms?</x:v>
      </x:c>
      <x:c r="D29" s="68" t="str">
        <x:v>Not yet</x:v>
      </x:c>
      <x:c r="E29" s="68" t="str">
        <x:v>Prove demand before expanding room supply</x:v>
      </x:c>
      <x:c r="F29" s="68" t="str">
        <x:v>New rooms require another 600 guests/week or equivalent demand</x:v>
      </x:c>
      <x:c r="G29" s="68"/>
      <x:c r="H29" s="68"/>
      <x:c r="I29" s="68"/>
      <x:c r="J29" s="68"/>
      <x:c r="K29" s="68"/>
      <x:c r="L29" s="68"/>
      <x:c r="M29" s="68"/>
      <x:c r="N29" s="68"/>
      <x:c r="O29" s="68"/>
      <x:c r="P29" s="68"/>
      <x:c r="Q29" s="68"/>
      <x:c r="R29" s="68"/>
    </x:row>
    <x:row r="30" ht="15" hidden="0" customHeight="1">
      <x:c r="A30" s="68"/>
      <x:c r="B30" s="68"/>
      <x:c r="C30" s="68" t="str">
        <x:v>What is the bank trigger?</x:v>
      </x:c>
      <x:c r="D30" s="68" t="str">
        <x:v>Year 2+ DSCR at least 1.30x</x:v>
      </x:c>
      <x:c r="E30" s="68" t="str">
        <x:v>Fund Year 1 reserve and secure group contracts</x:v>
      </x:c>
      <x:c r="F30" s="68" t="str">
        <x:v>Lender terms remain subject to due diligence</x:v>
      </x:c>
      <x:c r="G30" s="68"/>
      <x:c r="H30" s="68"/>
      <x:c r="I30" s="68"/>
      <x:c r="J30" s="68"/>
      <x:c r="K30" s="68"/>
      <x:c r="L30" s="68"/>
      <x:c r="M30" s="68"/>
      <x:c r="N30" s="68"/>
      <x:c r="O30" s="68"/>
      <x:c r="P30" s="68"/>
      <x:c r="Q30" s="68"/>
      <x:c r="R30" s="68"/>
    </x:row>
    <x:row r="31" ht="15" hidden="0" customHeight="1">
      <x:c r="A31" s="68"/>
      <x:c r="B31" s="68"/>
      <x:c r="C31" s="68"/>
      <x:c r="D31" s="68"/>
      <x:c r="E31" s="68"/>
      <x:c r="F31" s="68"/>
      <x:c r="G31" s="68"/>
      <x:c r="H31" s="68"/>
      <x:c r="I31" s="68"/>
      <x:c r="J31" s="68"/>
      <x:c r="K31" s="68"/>
      <x:c r="L31" s="68"/>
      <x:c r="M31" s="68"/>
      <x:c r="N31" s="68"/>
      <x:c r="O31" s="68"/>
      <x:c r="P31" s="68"/>
      <x:c r="Q31" s="68"/>
      <x:c r="R31" s="68"/>
    </x:row>
    <x:row r="32" ht="15" hidden="0" customHeight="1">
      <x:c r="A32" s="68"/>
      <x:c r="B32" s="68"/>
      <x:c r="C32" s="68"/>
      <x:c r="D32" s="68"/>
      <x:c r="E32" s="68"/>
      <x:c r="F32" s="68"/>
      <x:c r="G32" s="68"/>
      <x:c r="H32" s="68"/>
      <x:c r="I32" s="68"/>
      <x:c r="J32" s="68"/>
      <x:c r="K32" s="68"/>
      <x:c r="L32" s="68"/>
      <x:c r="M32" s="68"/>
      <x:c r="N32" s="68"/>
      <x:c r="O32" s="68"/>
      <x:c r="P32" s="68"/>
      <x:c r="Q32" s="68"/>
      <x:c r="R32" s="68"/>
    </x:row>
    <x:row r="33" ht="15" hidden="0" customHeight="1">
      <x:c r="A33" s="68"/>
      <x:c r="B33" s="68"/>
      <x:c r="C33" s="68"/>
      <x:c r="D33" s="68"/>
      <x:c r="E33" s="68"/>
      <x:c r="F33" s="68"/>
      <x:c r="G33" s="68"/>
      <x:c r="H33" s="68"/>
      <x:c r="I33" s="68"/>
      <x:c r="J33" s="68"/>
      <x:c r="K33" s="68"/>
      <x:c r="L33" s="68"/>
      <x:c r="M33" s="68"/>
      <x:c r="N33" s="68"/>
      <x:c r="O33" s="68"/>
      <x:c r="P33" s="68"/>
      <x:c r="Q33" s="68"/>
      <x:c r="R33" s="68"/>
    </x:row>
    <x:row r="34" ht="15" hidden="0" customHeight="1">
      <x:c r="A34" s="68"/>
      <x:c r="B34" s="68"/>
      <x:c r="C34" s="68"/>
      <x:c r="D34" s="68"/>
      <x:c r="E34" s="68"/>
      <x:c r="F34" s="68"/>
      <x:c r="G34" s="68"/>
      <x:c r="H34" s="68"/>
      <x:c r="I34" s="68"/>
      <x:c r="J34" s="68"/>
      <x:c r="K34" s="68"/>
      <x:c r="L34" s="68"/>
      <x:c r="M34" s="68"/>
      <x:c r="N34" s="68"/>
      <x:c r="O34" s="68"/>
      <x:c r="P34" s="68"/>
      <x:c r="Q34" s="68"/>
      <x:c r="R34" s="68"/>
    </x:row>
    <x:row r="35" ht="15" hidden="0" customHeight="1">
      <x:c r="A35" s="68"/>
      <x:c r="B35" s="68"/>
      <x:c r="C35" s="68"/>
      <x:c r="D35" s="68"/>
      <x:c r="E35" s="68"/>
      <x:c r="F35" s="68"/>
      <x:c r="G35" s="68"/>
      <x:c r="H35" s="68"/>
      <x:c r="I35" s="68"/>
      <x:c r="J35" s="68"/>
      <x:c r="K35" s="68"/>
      <x:c r="L35" s="68"/>
      <x:c r="M35" s="68"/>
      <x:c r="N35" s="68"/>
      <x:c r="O35" s="68"/>
      <x:c r="P35" s="68"/>
      <x:c r="Q35" s="68"/>
      <x:c r="R35" s="68"/>
    </x:row>
    <x:row r="36" ht="15" hidden="0" customHeight="1">
      <x:c r="A36" s="68"/>
      <x:c r="B36" s="68"/>
      <x:c r="C36" s="68"/>
      <x:c r="D36" s="68"/>
      <x:c r="E36" s="68"/>
      <x:c r="F36" s="68"/>
      <x:c r="G36" s="68"/>
      <x:c r="H36" s="68"/>
      <x:c r="I36" s="68"/>
      <x:c r="J36" s="68"/>
      <x:c r="K36" s="68"/>
      <x:c r="L36" s="68"/>
      <x:c r="M36" s="68"/>
      <x:c r="N36" s="68"/>
      <x:c r="O36" s="68"/>
      <x:c r="P36" s="68"/>
      <x:c r="Q36" s="68"/>
      <x:c r="R36" s="68"/>
    </x:row>
    <x:row r="37" ht="15" hidden="0" customHeight="1">
      <x:c r="A37" s="68"/>
      <x:c r="B37" s="68"/>
      <x:c r="C37" s="68"/>
      <x:c r="D37" s="68"/>
      <x:c r="E37" s="68"/>
      <x:c r="F37" s="68"/>
      <x:c r="G37" s="68"/>
      <x:c r="H37" s="68"/>
      <x:c r="I37" s="68"/>
      <x:c r="J37" s="68"/>
      <x:c r="K37" s="68"/>
      <x:c r="L37" s="68"/>
      <x:c r="M37" s="68"/>
      <x:c r="N37" s="68"/>
      <x:c r="O37" s="68"/>
      <x:c r="P37" s="68"/>
      <x:c r="Q37" s="68"/>
      <x:c r="R37" s="68"/>
    </x:row>
    <x:row r="38" ht="15" hidden="0" customHeight="1">
      <x:c r="A38" s="68"/>
      <x:c r="B38" s="68"/>
      <x:c r="C38" s="68"/>
      <x:c r="D38" s="68"/>
      <x:c r="E38" s="68"/>
      <x:c r="F38" s="68"/>
      <x:c r="G38" s="68"/>
      <x:c r="H38" s="68"/>
      <x:c r="I38" s="68"/>
      <x:c r="J38" s="68"/>
      <x:c r="K38" s="68"/>
      <x:c r="L38" s="68"/>
      <x:c r="M38" s="68"/>
      <x:c r="N38" s="68"/>
      <x:c r="O38" s="68"/>
      <x:c r="P38" s="68"/>
      <x:c r="Q38" s="68"/>
      <x:c r="R38" s="68"/>
    </x:row>
    <x:row r="39" ht="15" hidden="0" customHeight="1">
      <x:c r="A39" s="68"/>
      <x:c r="B39" s="68"/>
      <x:c r="C39" s="68"/>
      <x:c r="D39" s="68"/>
      <x:c r="E39" s="68"/>
      <x:c r="F39" s="68"/>
      <x:c r="G39" s="68"/>
      <x:c r="H39" s="68"/>
      <x:c r="I39" s="68"/>
      <x:c r="J39" s="68"/>
      <x:c r="K39" s="68"/>
      <x:c r="L39" s="68"/>
      <x:c r="M39" s="68"/>
      <x:c r="N39" s="68"/>
      <x:c r="O39" s="68"/>
      <x:c r="P39" s="68"/>
      <x:c r="Q39" s="68"/>
      <x:c r="R39" s="68"/>
    </x:row>
    <x:row r="40" ht="15" hidden="0" customHeight="1">
      <x:c r="A40" s="68"/>
      <x:c r="B40" s="68"/>
      <x:c r="C40" s="68"/>
      <x:c r="D40" s="68"/>
      <x:c r="E40" s="68"/>
      <x:c r="F40" s="68"/>
      <x:c r="G40" s="68"/>
      <x:c r="H40" s="68"/>
      <x:c r="I40" s="68"/>
      <x:c r="J40" s="68"/>
      <x:c r="K40" s="68"/>
      <x:c r="L40" s="68"/>
      <x:c r="M40" s="68"/>
      <x:c r="N40" s="68"/>
      <x:c r="O40" s="68"/>
      <x:c r="P40" s="68"/>
      <x:c r="Q40" s="68"/>
      <x:c r="R40" s="68"/>
    </x:row>
    <x:row r="41" ht="15" hidden="0" customHeight="1">
      <x:c r="A41" s="68"/>
      <x:c r="B41" s="68"/>
      <x:c r="C41" s="68"/>
      <x:c r="D41" s="68"/>
      <x:c r="E41" s="68"/>
      <x:c r="F41" s="68"/>
      <x:c r="G41" s="68"/>
      <x:c r="H41" s="68"/>
      <x:c r="I41" s="68"/>
      <x:c r="J41" s="68"/>
      <x:c r="K41" s="68"/>
      <x:c r="L41" s="68"/>
      <x:c r="M41" s="68"/>
      <x:c r="N41" s="68"/>
      <x:c r="O41" s="68"/>
      <x:c r="P41" s="68"/>
      <x:c r="Q41" s="68"/>
      <x:c r="R41" s="68"/>
    </x:row>
    <x:row r="42" ht="15" hidden="0" customHeight="1">
      <x:c r="A42" s="68"/>
      <x:c r="B42" s="68"/>
      <x:c r="C42" s="68"/>
      <x:c r="D42" s="68"/>
      <x:c r="E42" s="68"/>
      <x:c r="F42" s="68"/>
      <x:c r="G42" s="68"/>
      <x:c r="H42" s="68"/>
      <x:c r="I42" s="68"/>
      <x:c r="J42" s="68"/>
      <x:c r="K42" s="68"/>
      <x:c r="L42" s="68"/>
      <x:c r="M42" s="68"/>
      <x:c r="N42" s="68"/>
      <x:c r="O42" s="68"/>
      <x:c r="P42" s="68"/>
      <x:c r="Q42" s="68"/>
      <x:c r="R42" s="68"/>
    </x:row>
    <x:row r="43" ht="15" hidden="0" customHeight="1">
      <x:c r="A43" s="68"/>
      <x:c r="B43" s="68"/>
      <x:c r="C43" s="68"/>
      <x:c r="D43" s="68"/>
      <x:c r="E43" s="68"/>
      <x:c r="F43" s="68"/>
      <x:c r="G43" s="68"/>
      <x:c r="H43" s="68"/>
      <x:c r="I43" s="68"/>
      <x:c r="J43" s="68"/>
      <x:c r="K43" s="68"/>
      <x:c r="L43" s="68"/>
      <x:c r="M43" s="68"/>
      <x:c r="N43" s="68"/>
      <x:c r="O43" s="68"/>
      <x:c r="P43" s="68"/>
      <x:c r="Q43" s="68"/>
      <x:c r="R43" s="68"/>
    </x:row>
    <x:row r="44" ht="15" hidden="0" customHeight="1">
      <x:c r="A44" s="68"/>
      <x:c r="B44" s="68"/>
      <x:c r="C44" s="68"/>
      <x:c r="D44" s="68"/>
      <x:c r="E44" s="68"/>
      <x:c r="F44" s="68"/>
      <x:c r="G44" s="68"/>
      <x:c r="H44" s="68"/>
      <x:c r="I44" s="68"/>
      <x:c r="J44" s="68"/>
      <x:c r="K44" s="68"/>
      <x:c r="L44" s="68"/>
      <x:c r="M44" s="68"/>
      <x:c r="N44" s="68"/>
      <x:c r="O44" s="68"/>
      <x:c r="P44" s="68"/>
      <x:c r="Q44" s="68"/>
      <x:c r="R44" s="68"/>
    </x:row>
    <x:row r="45" ht="15" hidden="0" customHeight="1">
      <x:c r="A45" s="68"/>
      <x:c r="B45" s="68"/>
      <x:c r="C45" s="68"/>
      <x:c r="D45" s="68"/>
      <x:c r="E45" s="68"/>
      <x:c r="F45" s="68"/>
      <x:c r="G45" s="68"/>
      <x:c r="H45" s="68"/>
      <x:c r="I45" s="68"/>
      <x:c r="J45" s="68"/>
      <x:c r="K45" s="68"/>
      <x:c r="L45" s="68"/>
      <x:c r="M45" s="68"/>
      <x:c r="N45" s="68"/>
      <x:c r="O45" s="68"/>
      <x:c r="P45" s="68"/>
      <x:c r="Q45" s="68"/>
      <x:c r="R45" s="68"/>
    </x:row>
    <x:row r="46" ht="15" hidden="0" customHeight="1">
      <x:c r="A46" s="68"/>
      <x:c r="B46" s="68"/>
      <x:c r="C46" s="68"/>
      <x:c r="D46" s="68"/>
      <x:c r="E46" s="68"/>
      <x:c r="F46" s="68"/>
      <x:c r="G46" s="68"/>
      <x:c r="H46" s="68"/>
      <x:c r="I46" s="68"/>
      <x:c r="J46" s="68"/>
      <x:c r="K46" s="68"/>
      <x:c r="L46" s="68"/>
      <x:c r="M46" s="68"/>
      <x:c r="N46" s="68"/>
      <x:c r="O46" s="68"/>
      <x:c r="P46" s="68"/>
      <x:c r="Q46" s="68"/>
      <x:c r="R46" s="68"/>
    </x:row>
    <x:row r="47" ht="15" hidden="0" customHeight="1">
      <x:c r="A47" s="68"/>
      <x:c r="B47" s="68"/>
      <x:c r="C47" s="68"/>
      <x:c r="D47" s="68"/>
      <x:c r="E47" s="68"/>
      <x:c r="F47" s="68"/>
      <x:c r="G47" s="68"/>
      <x:c r="H47" s="68"/>
      <x:c r="I47" s="68"/>
      <x:c r="J47" s="68"/>
      <x:c r="K47" s="68"/>
      <x:c r="L47" s="68"/>
      <x:c r="M47" s="68"/>
      <x:c r="N47" s="68"/>
      <x:c r="O47" s="68"/>
      <x:c r="P47" s="68"/>
      <x:c r="Q47" s="68"/>
      <x:c r="R47" s="68"/>
    </x:row>
    <x:row r="48" ht="15" hidden="0" customHeight="1">
      <x:c r="A48" s="68"/>
      <x:c r="B48" s="68"/>
      <x:c r="C48" s="68"/>
      <x:c r="D48" s="68"/>
      <x:c r="E48" s="68"/>
      <x:c r="F48" s="68"/>
      <x:c r="G48" s="68"/>
      <x:c r="H48" s="68"/>
      <x:c r="I48" s="68"/>
      <x:c r="J48" s="68"/>
      <x:c r="K48" s="68"/>
      <x:c r="L48" s="68"/>
      <x:c r="M48" s="68"/>
      <x:c r="N48" s="68"/>
      <x:c r="O48" s="68"/>
      <x:c r="P48" s="68"/>
      <x:c r="Q48" s="68"/>
      <x:c r="R48" s="68"/>
    </x:row>
    <x:row r="49" ht="15" hidden="0" customHeight="1">
      <x:c r="A49" s="68"/>
      <x:c r="B49" s="68"/>
      <x:c r="C49" s="68"/>
      <x:c r="D49" s="68"/>
      <x:c r="E49" s="68"/>
      <x:c r="F49" s="68"/>
      <x:c r="G49" s="68"/>
      <x:c r="H49" s="68"/>
      <x:c r="I49" s="68"/>
      <x:c r="J49" s="68"/>
      <x:c r="K49" s="68"/>
      <x:c r="L49" s="68"/>
      <x:c r="M49" s="68"/>
      <x:c r="N49" s="68"/>
      <x:c r="O49" s="68"/>
      <x:c r="P49" s="68"/>
      <x:c r="Q49" s="68"/>
      <x:c r="R49" s="68"/>
    </x:row>
    <x:row r="50" ht="15" hidden="0" customHeight="1">
      <x:c r="A50" s="68"/>
      <x:c r="B50" s="68"/>
      <x:c r="C50" s="68"/>
      <x:c r="D50" s="68"/>
      <x:c r="E50" s="68"/>
      <x:c r="F50" s="68"/>
      <x:c r="G50" s="68"/>
      <x:c r="H50" s="68"/>
      <x:c r="I50" s="68"/>
      <x:c r="J50" s="68"/>
      <x:c r="K50" s="68"/>
      <x:c r="L50" s="68"/>
      <x:c r="M50" s="68"/>
      <x:c r="N50" s="68"/>
      <x:c r="O50" s="68"/>
      <x:c r="P50" s="68"/>
      <x:c r="Q50" s="68"/>
      <x:c r="R50" s="68"/>
    </x:row>
    <x:row r="51" ht="15" hidden="0" customHeight="1">
      <x:c r="A51" s="68"/>
      <x:c r="B51" s="68"/>
      <x:c r="C51" s="68"/>
      <x:c r="D51" s="68"/>
      <x:c r="E51" s="68"/>
      <x:c r="F51" s="68"/>
      <x:c r="G51" s="68"/>
      <x:c r="H51" s="68"/>
      <x:c r="I51" s="68"/>
      <x:c r="J51" s="68"/>
      <x:c r="K51" s="68"/>
      <x:c r="L51" s="68"/>
      <x:c r="M51" s="68"/>
      <x:c r="N51" s="68"/>
      <x:c r="O51" s="68"/>
      <x:c r="P51" s="68"/>
      <x:c r="Q51" s="68"/>
      <x:c r="R51" s="68"/>
    </x:row>
    <x:row r="52" ht="15" hidden="0" customHeight="1">
      <x:c r="A52" s="68"/>
      <x:c r="B52" s="68"/>
      <x:c r="C52" s="68"/>
      <x:c r="D52" s="68"/>
      <x:c r="E52" s="68"/>
      <x:c r="F52" s="68"/>
      <x:c r="G52" s="68"/>
      <x:c r="H52" s="68"/>
      <x:c r="I52" s="68"/>
      <x:c r="J52" s="68"/>
      <x:c r="K52" s="68"/>
      <x:c r="L52" s="68"/>
      <x:c r="M52" s="68"/>
      <x:c r="N52" s="68"/>
      <x:c r="O52" s="68"/>
      <x:c r="P52" s="68"/>
      <x:c r="Q52" s="68"/>
      <x:c r="R52" s="68"/>
    </x:row>
    <x:row r="53" ht="15" hidden="0" customHeight="1">
      <x:c r="A53" s="68"/>
      <x:c r="B53" s="68"/>
      <x:c r="C53" s="68"/>
      <x:c r="D53" s="68"/>
      <x:c r="E53" s="68"/>
      <x:c r="F53" s="68"/>
      <x:c r="G53" s="68"/>
      <x:c r="H53" s="68"/>
      <x:c r="I53" s="68"/>
      <x:c r="J53" s="68"/>
      <x:c r="K53" s="68"/>
      <x:c r="L53" s="68"/>
      <x:c r="M53" s="68"/>
      <x:c r="N53" s="68"/>
      <x:c r="O53" s="68"/>
      <x:c r="P53" s="68"/>
      <x:c r="Q53" s="68"/>
      <x:c r="R53" s="68"/>
    </x:row>
    <x:row r="54" ht="15" hidden="0" customHeight="1">
      <x:c r="A54" s="68"/>
      <x:c r="B54" s="68"/>
      <x:c r="C54" s="68"/>
      <x:c r="D54" s="68"/>
      <x:c r="E54" s="68"/>
      <x:c r="F54" s="68"/>
      <x:c r="G54" s="68"/>
      <x:c r="H54" s="68"/>
      <x:c r="I54" s="68"/>
      <x:c r="J54" s="68"/>
      <x:c r="K54" s="68"/>
      <x:c r="L54" s="68"/>
      <x:c r="M54" s="68"/>
      <x:c r="N54" s="68"/>
      <x:c r="O54" s="68"/>
      <x:c r="P54" s="68"/>
      <x:c r="Q54" s="68"/>
      <x:c r="R54" s="68"/>
    </x:row>
    <x:row r="55" ht="15" hidden="0" customHeight="1">
      <x:c r="A55" s="68"/>
      <x:c r="B55" s="68"/>
      <x:c r="C55" s="68"/>
      <x:c r="D55" s="68"/>
      <x:c r="E55" s="68"/>
      <x:c r="F55" s="68"/>
      <x:c r="G55" s="68"/>
      <x:c r="H55" s="68"/>
      <x:c r="I55" s="68"/>
      <x:c r="J55" s="68"/>
      <x:c r="K55" s="68"/>
      <x:c r="L55" s="68"/>
      <x:c r="M55" s="68"/>
      <x:c r="N55" s="68"/>
      <x:c r="O55" s="68"/>
      <x:c r="P55" s="68"/>
      <x:c r="Q55" s="68"/>
      <x:c r="R55" s="68"/>
    </x:row>
    <x:row r="56" ht="15" hidden="0" customHeight="1">
      <x:c r="A56" s="68"/>
      <x:c r="B56" s="68"/>
      <x:c r="C56" s="68"/>
      <x:c r="D56" s="68"/>
      <x:c r="E56" s="68"/>
      <x:c r="F56" s="68"/>
      <x:c r="G56" s="68"/>
      <x:c r="H56" s="68"/>
      <x:c r="I56" s="68"/>
      <x:c r="J56" s="68"/>
      <x:c r="K56" s="68"/>
      <x:c r="L56" s="68"/>
      <x:c r="M56" s="68"/>
      <x:c r="N56" s="68"/>
      <x:c r="O56" s="68"/>
      <x:c r="P56" s="68"/>
      <x:c r="Q56" s="68"/>
      <x:c r="R56" s="68"/>
    </x:row>
    <x:row r="57" ht="15" hidden="0" customHeight="1">
      <x:c r="A57" s="68"/>
      <x:c r="B57" s="68"/>
      <x:c r="C57" s="68"/>
      <x:c r="D57" s="68"/>
      <x:c r="E57" s="68"/>
      <x:c r="F57" s="68"/>
      <x:c r="G57" s="68"/>
      <x:c r="H57" s="68"/>
      <x:c r="I57" s="68"/>
      <x:c r="J57" s="68"/>
      <x:c r="K57" s="68"/>
      <x:c r="L57" s="68"/>
      <x:c r="M57" s="68"/>
      <x:c r="N57" s="68"/>
      <x:c r="O57" s="68"/>
      <x:c r="P57" s="68"/>
      <x:c r="Q57" s="68"/>
      <x:c r="R57" s="68"/>
    </x:row>
    <x:row r="58" ht="15" hidden="0" customHeight="1">
      <x:c r="A58" s="68"/>
      <x:c r="B58" s="68"/>
      <x:c r="C58" s="68"/>
      <x:c r="D58" s="68"/>
      <x:c r="E58" s="68"/>
      <x:c r="F58" s="68"/>
      <x:c r="G58" s="68"/>
      <x:c r="H58" s="68"/>
      <x:c r="I58" s="68"/>
      <x:c r="J58" s="68"/>
      <x:c r="K58" s="68"/>
      <x:c r="L58" s="68"/>
      <x:c r="M58" s="68"/>
      <x:c r="N58" s="68"/>
      <x:c r="O58" s="68"/>
      <x:c r="P58" s="68"/>
      <x:c r="Q58" s="68"/>
      <x:c r="R58" s="68"/>
    </x:row>
    <x:row r="59" ht="15" hidden="0" customHeight="1">
      <x:c r="A59" s="68"/>
      <x:c r="B59" s="68"/>
      <x:c r="C59" s="68"/>
      <x:c r="D59" s="68"/>
      <x:c r="E59" s="68"/>
      <x:c r="F59" s="68"/>
      <x:c r="G59" s="68"/>
      <x:c r="H59" s="68"/>
      <x:c r="I59" s="68"/>
      <x:c r="J59" s="68"/>
      <x:c r="K59" s="68"/>
      <x:c r="L59" s="68"/>
      <x:c r="M59" s="68"/>
      <x:c r="N59" s="68"/>
      <x:c r="O59" s="68"/>
      <x:c r="P59" s="68"/>
      <x:c r="Q59" s="68"/>
      <x:c r="R59" s="68"/>
    </x:row>
    <x:row r="60" ht="15" hidden="0" customHeight="1">
      <x:c r="A60" s="68"/>
      <x:c r="B60" s="68"/>
      <x:c r="C60" s="68"/>
      <x:c r="D60" s="68"/>
      <x:c r="E60" s="68"/>
      <x:c r="F60" s="68"/>
      <x:c r="G60" s="68"/>
      <x:c r="H60" s="68"/>
      <x:c r="I60" s="68"/>
      <x:c r="J60" s="68"/>
      <x:c r="K60" s="68"/>
      <x:c r="L60" s="68"/>
      <x:c r="M60" s="68"/>
      <x:c r="N60" s="68"/>
      <x:c r="O60" s="68"/>
      <x:c r="P60" s="68"/>
      <x:c r="Q60" s="68"/>
      <x:c r="R60" s="68"/>
    </x:row>
    <x:row r="61" ht="15" hidden="0" customHeight="1">
      <x:c r="A61" s="68"/>
      <x:c r="B61" s="68"/>
      <x:c r="C61" s="68"/>
      <x:c r="D61" s="68"/>
      <x:c r="E61" s="68"/>
      <x:c r="F61" s="68"/>
      <x:c r="G61" s="68"/>
      <x:c r="H61" s="68"/>
      <x:c r="I61" s="68"/>
      <x:c r="J61" s="68"/>
      <x:c r="K61" s="68"/>
      <x:c r="L61" s="68"/>
      <x:c r="M61" s="68"/>
      <x:c r="N61" s="68"/>
      <x:c r="O61" s="68"/>
      <x:c r="P61" s="68"/>
      <x:c r="Q61" s="68"/>
      <x:c r="R61" s="68"/>
    </x:row>
    <x:row r="62" ht="15" hidden="0" customHeight="1">
      <x:c r="A62" s="68"/>
      <x:c r="B62" s="68"/>
      <x:c r="C62" s="68"/>
      <x:c r="D62" s="68"/>
      <x:c r="E62" s="68"/>
      <x:c r="F62" s="68"/>
      <x:c r="G62" s="68"/>
      <x:c r="H62" s="68"/>
      <x:c r="I62" s="68"/>
      <x:c r="J62" s="68"/>
      <x:c r="K62" s="68"/>
      <x:c r="L62" s="68"/>
      <x:c r="M62" s="68"/>
      <x:c r="N62" s="68"/>
      <x:c r="O62" s="68"/>
      <x:c r="P62" s="68"/>
      <x:c r="Q62" s="68"/>
      <x:c r="R62" s="68"/>
    </x:row>
    <x:row r="63" ht="15" hidden="0" customHeight="1">
      <x:c r="A63" s="68"/>
      <x:c r="B63" s="68"/>
      <x:c r="C63" s="68"/>
      <x:c r="D63" s="68"/>
      <x:c r="E63" s="68"/>
      <x:c r="F63" s="68"/>
      <x:c r="G63" s="68"/>
      <x:c r="H63" s="68"/>
      <x:c r="I63" s="68"/>
      <x:c r="J63" s="68"/>
      <x:c r="K63" s="68"/>
      <x:c r="L63" s="68"/>
      <x:c r="M63" s="68"/>
      <x:c r="N63" s="68"/>
      <x:c r="O63" s="68"/>
      <x:c r="P63" s="68"/>
      <x:c r="Q63" s="68"/>
      <x:c r="R63" s="68"/>
    </x:row>
    <x:row r="64" ht="15" hidden="0" customHeight="1">
      <x:c r="A64" s="68"/>
      <x:c r="B64" s="68"/>
      <x:c r="C64" s="68"/>
      <x:c r="D64" s="68"/>
      <x:c r="E64" s="68"/>
      <x:c r="F64" s="68"/>
      <x:c r="G64" s="68"/>
      <x:c r="H64" s="68"/>
      <x:c r="I64" s="68"/>
      <x:c r="J64" s="68"/>
      <x:c r="K64" s="68"/>
      <x:c r="L64" s="68"/>
      <x:c r="M64" s="68"/>
      <x:c r="N64" s="68"/>
      <x:c r="O64" s="68"/>
      <x:c r="P64" s="68"/>
      <x:c r="Q64" s="68"/>
      <x:c r="R64" s="68"/>
    </x:row>
    <x:row r="65" ht="15" hidden="0" customHeight="1">
      <x:c r="A65" s="68"/>
      <x:c r="B65" s="68"/>
      <x:c r="C65" s="68"/>
      <x:c r="D65" s="68"/>
      <x:c r="E65" s="68"/>
      <x:c r="F65" s="68"/>
      <x:c r="G65" s="68"/>
      <x:c r="H65" s="68"/>
      <x:c r="I65" s="68"/>
      <x:c r="J65" s="68"/>
      <x:c r="K65" s="68"/>
      <x:c r="L65" s="68"/>
      <x:c r="M65" s="68"/>
      <x:c r="N65" s="68"/>
      <x:c r="O65" s="68"/>
      <x:c r="P65" s="68"/>
      <x:c r="Q65" s="68"/>
      <x:c r="R65" s="68"/>
    </x:row>
    <x:row r="66" ht="15" hidden="0" customHeight="1">
      <x:c r="A66" s="68"/>
      <x:c r="B66" s="68"/>
      <x:c r="C66" s="68"/>
      <x:c r="D66" s="68"/>
      <x:c r="E66" s="68"/>
      <x:c r="F66" s="68"/>
      <x:c r="G66" s="68"/>
      <x:c r="H66" s="68"/>
      <x:c r="I66" s="68"/>
      <x:c r="J66" s="68"/>
      <x:c r="K66" s="68"/>
      <x:c r="L66" s="68"/>
      <x:c r="M66" s="68"/>
      <x:c r="N66" s="68"/>
      <x:c r="O66" s="68"/>
      <x:c r="P66" s="68"/>
      <x:c r="Q66" s="68"/>
      <x:c r="R66" s="68"/>
    </x:row>
    <x:row r="67" ht="15" hidden="0" customHeight="1">
      <x:c r="A67" s="68"/>
      <x:c r="B67" s="68"/>
      <x:c r="C67" s="68"/>
      <x:c r="D67" s="68"/>
      <x:c r="E67" s="68"/>
      <x:c r="F67" s="68"/>
      <x:c r="G67" s="68"/>
      <x:c r="H67" s="68"/>
      <x:c r="I67" s="68"/>
      <x:c r="J67" s="68"/>
      <x:c r="K67" s="68"/>
      <x:c r="L67" s="68"/>
      <x:c r="M67" s="68"/>
      <x:c r="N67" s="68"/>
      <x:c r="O67" s="68"/>
      <x:c r="P67" s="68"/>
      <x:c r="Q67" s="68"/>
      <x:c r="R67" s="68"/>
    </x:row>
    <x:row r="68" ht="15" hidden="0" customHeight="1">
      <x:c r="A68" s="68"/>
      <x:c r="B68" s="68"/>
      <x:c r="C68" s="68"/>
      <x:c r="D68" s="68"/>
      <x:c r="E68" s="68"/>
      <x:c r="F68" s="68"/>
      <x:c r="G68" s="68"/>
      <x:c r="H68" s="68"/>
      <x:c r="I68" s="68"/>
      <x:c r="J68" s="68"/>
      <x:c r="K68" s="68"/>
      <x:c r="L68" s="68"/>
      <x:c r="M68" s="68"/>
      <x:c r="N68" s="68"/>
      <x:c r="O68" s="68"/>
      <x:c r="P68" s="68"/>
      <x:c r="Q68" s="68"/>
      <x:c r="R68" s="68"/>
    </x:row>
    <x:row r="69" ht="15" hidden="0" customHeight="1">
      <x:c r="A69" s="68"/>
      <x:c r="B69" s="68"/>
      <x:c r="C69" s="68"/>
      <x:c r="D69" s="68"/>
      <x:c r="E69" s="68"/>
      <x:c r="F69" s="68"/>
      <x:c r="G69" s="68"/>
      <x:c r="H69" s="68"/>
      <x:c r="I69" s="68"/>
      <x:c r="J69" s="68"/>
      <x:c r="K69" s="68"/>
      <x:c r="L69" s="68"/>
      <x:c r="M69" s="68"/>
      <x:c r="N69" s="68"/>
      <x:c r="O69" s="68"/>
      <x:c r="P69" s="68"/>
      <x:c r="Q69" s="68"/>
      <x:c r="R69" s="68"/>
    </x:row>
    <x:row r="70" ht="15" hidden="0" customHeight="1">
      <x:c r="A70" s="68"/>
      <x:c r="B70" s="68"/>
      <x:c r="C70" s="68"/>
      <x:c r="D70" s="68"/>
      <x:c r="E70" s="68"/>
      <x:c r="F70" s="68"/>
      <x:c r="G70" s="68"/>
      <x:c r="H70" s="68"/>
      <x:c r="I70" s="68"/>
      <x:c r="J70" s="68"/>
      <x:c r="K70" s="68"/>
      <x:c r="L70" s="68"/>
      <x:c r="M70" s="68"/>
      <x:c r="N70" s="68"/>
      <x:c r="O70" s="68"/>
      <x:c r="P70" s="68"/>
      <x:c r="Q70" s="68"/>
      <x:c r="R70" s="68"/>
    </x:row>
    <x:row r="71" ht="15" hidden="0" customHeight="1">
      <x:c r="A71" s="68"/>
      <x:c r="B71" s="68"/>
      <x:c r="C71" s="68"/>
      <x:c r="D71" s="68"/>
      <x:c r="E71" s="68"/>
      <x:c r="F71" s="68"/>
      <x:c r="G71" s="68"/>
      <x:c r="H71" s="68"/>
      <x:c r="I71" s="68"/>
      <x:c r="J71" s="68"/>
      <x:c r="K71" s="68"/>
      <x:c r="L71" s="68"/>
      <x:c r="M71" s="68"/>
      <x:c r="N71" s="68"/>
      <x:c r="O71" s="68"/>
      <x:c r="P71" s="68"/>
      <x:c r="Q71" s="68"/>
      <x:c r="R71" s="68"/>
    </x:row>
    <x:row r="72" ht="15" hidden="0" customHeight="1">
      <x:c r="A72" s="68"/>
      <x:c r="B72" s="68"/>
      <x:c r="C72" s="68"/>
      <x:c r="D72" s="68"/>
      <x:c r="E72" s="68"/>
      <x:c r="F72" s="68"/>
      <x:c r="G72" s="68"/>
      <x:c r="H72" s="68"/>
      <x:c r="I72" s="68"/>
      <x:c r="J72" s="68"/>
      <x:c r="K72" s="68"/>
      <x:c r="L72" s="68"/>
      <x:c r="M72" s="68"/>
      <x:c r="N72" s="68"/>
      <x:c r="O72" s="68"/>
      <x:c r="P72" s="68"/>
      <x:c r="Q72" s="68"/>
      <x:c r="R72" s="68"/>
    </x:row>
    <x:row r="73" ht="15" hidden="0" customHeight="1">
      <x:c r="A73" s="68"/>
      <x:c r="B73" s="68"/>
      <x:c r="C73" s="68"/>
      <x:c r="D73" s="68"/>
      <x:c r="E73" s="68"/>
      <x:c r="F73" s="68"/>
      <x:c r="G73" s="68"/>
      <x:c r="H73" s="68"/>
      <x:c r="I73" s="68"/>
      <x:c r="J73" s="68"/>
      <x:c r="K73" s="68"/>
      <x:c r="L73" s="68"/>
      <x:c r="M73" s="68"/>
      <x:c r="N73" s="68"/>
      <x:c r="O73" s="68"/>
      <x:c r="P73" s="68"/>
      <x:c r="Q73" s="68"/>
      <x:c r="R73" s="68"/>
    </x:row>
    <x:row r="74" ht="15" hidden="0" customHeight="1">
      <x:c r="A74" s="68"/>
      <x:c r="B74" s="68"/>
      <x:c r="C74" s="68"/>
      <x:c r="D74" s="68"/>
      <x:c r="E74" s="68"/>
      <x:c r="F74" s="68"/>
      <x:c r="G74" s="68"/>
      <x:c r="H74" s="68"/>
      <x:c r="I74" s="68"/>
      <x:c r="J74" s="68"/>
      <x:c r="K74" s="68"/>
      <x:c r="L74" s="68"/>
      <x:c r="M74" s="68"/>
      <x:c r="N74" s="68"/>
      <x:c r="O74" s="68"/>
      <x:c r="P74" s="68"/>
      <x:c r="Q74" s="68"/>
      <x:c r="R74" s="68"/>
    </x:row>
    <x:row r="75" ht="15" hidden="0" customHeight="1">
      <x:c r="A75" s="68"/>
      <x:c r="B75" s="68"/>
      <x:c r="C75" s="68"/>
      <x:c r="D75" s="68"/>
      <x:c r="E75" s="68"/>
      <x:c r="F75" s="68"/>
      <x:c r="G75" s="68"/>
      <x:c r="H75" s="68"/>
      <x:c r="I75" s="68"/>
      <x:c r="J75" s="68"/>
      <x:c r="K75" s="68"/>
      <x:c r="L75" s="68"/>
      <x:c r="M75" s="68"/>
      <x:c r="N75" s="68"/>
      <x:c r="O75" s="68"/>
      <x:c r="P75" s="68"/>
      <x:c r="Q75" s="68"/>
      <x:c r="R75" s="68"/>
    </x:row>
    <x:row r="76" ht="15" hidden="0" customHeight="1">
      <x:c r="A76" s="68"/>
      <x:c r="B76" s="68"/>
      <x:c r="C76" s="68"/>
      <x:c r="D76" s="68"/>
      <x:c r="E76" s="68"/>
      <x:c r="F76" s="68"/>
      <x:c r="G76" s="68"/>
      <x:c r="H76" s="68"/>
      <x:c r="I76" s="68"/>
      <x:c r="J76" s="68"/>
      <x:c r="K76" s="68"/>
      <x:c r="L76" s="68"/>
      <x:c r="M76" s="68"/>
      <x:c r="N76" s="68"/>
      <x:c r="O76" s="68"/>
      <x:c r="P76" s="68"/>
      <x:c r="Q76" s="68"/>
      <x:c r="R76" s="68"/>
    </x:row>
    <x:row r="77" ht="15" hidden="0" customHeight="1">
      <x:c r="A77" s="68"/>
      <x:c r="B77" s="68"/>
      <x:c r="C77" s="68"/>
      <x:c r="D77" s="68"/>
      <x:c r="E77" s="68"/>
      <x:c r="F77" s="68"/>
      <x:c r="G77" s="68"/>
      <x:c r="H77" s="68"/>
      <x:c r="I77" s="68"/>
      <x:c r="J77" s="68"/>
      <x:c r="K77" s="68"/>
      <x:c r="L77" s="68"/>
      <x:c r="M77" s="68"/>
      <x:c r="N77" s="68"/>
      <x:c r="O77" s="68"/>
      <x:c r="P77" s="68"/>
      <x:c r="Q77" s="68"/>
      <x:c r="R77" s="68"/>
    </x:row>
    <x:row r="78" ht="15" hidden="0" customHeight="1">
      <x:c r="A78" s="68"/>
      <x:c r="B78" s="68"/>
      <x:c r="C78" s="68"/>
      <x:c r="D78" s="68"/>
      <x:c r="E78" s="68"/>
      <x:c r="F78" s="68"/>
      <x:c r="G78" s="68"/>
      <x:c r="H78" s="68"/>
      <x:c r="I78" s="68"/>
      <x:c r="J78" s="68"/>
      <x:c r="K78" s="68"/>
      <x:c r="L78" s="68"/>
      <x:c r="M78" s="68"/>
      <x:c r="N78" s="68"/>
      <x:c r="O78" s="68"/>
      <x:c r="P78" s="68"/>
      <x:c r="Q78" s="68"/>
      <x:c r="R78" s="68"/>
    </x:row>
    <x:row r="79" ht="15" hidden="0" customHeight="1">
      <x:c r="A79" s="68"/>
      <x:c r="B79" s="68"/>
      <x:c r="C79" s="68"/>
      <x:c r="D79" s="68"/>
      <x:c r="E79" s="68"/>
      <x:c r="F79" s="68"/>
      <x:c r="G79" s="68"/>
      <x:c r="H79" s="68"/>
      <x:c r="I79" s="68"/>
      <x:c r="J79" s="68"/>
      <x:c r="K79" s="68"/>
      <x:c r="L79" s="68"/>
      <x:c r="M79" s="68"/>
      <x:c r="N79" s="68"/>
      <x:c r="O79" s="68"/>
      <x:c r="P79" s="68"/>
      <x:c r="Q79" s="68"/>
      <x:c r="R79" s="68"/>
    </x:row>
    <x:row r="80" ht="15" hidden="0" customHeight="1">
      <x:c r="A80" s="68"/>
      <x:c r="B80" s="68"/>
      <x:c r="C80" s="68"/>
      <x:c r="D80" s="68"/>
      <x:c r="E80" s="68"/>
      <x:c r="F80" s="68"/>
      <x:c r="G80" s="68"/>
      <x:c r="H80" s="68"/>
      <x:c r="I80" s="68"/>
      <x:c r="J80" s="68"/>
      <x:c r="K80" s="68"/>
      <x:c r="L80" s="68"/>
      <x:c r="M80" s="68"/>
      <x:c r="N80" s="68"/>
      <x:c r="O80" s="68"/>
      <x:c r="P80" s="68"/>
      <x:c r="Q80" s="68"/>
      <x:c r="R80" s="68"/>
    </x:row>
    <x:row r="81" ht="15" hidden="0" customHeight="1">
      <x:c r="A81" s="68"/>
      <x:c r="B81" s="68"/>
      <x:c r="C81" s="68"/>
      <x:c r="D81" s="68"/>
      <x:c r="E81" s="68"/>
      <x:c r="F81" s="68"/>
      <x:c r="G81" s="68"/>
      <x:c r="H81" s="68"/>
      <x:c r="I81" s="68"/>
      <x:c r="J81" s="68"/>
      <x:c r="K81" s="68"/>
      <x:c r="L81" s="68"/>
      <x:c r="M81" s="68"/>
      <x:c r="N81" s="68"/>
      <x:c r="O81" s="68"/>
      <x:c r="P81" s="68"/>
      <x:c r="Q81" s="68"/>
      <x:c r="R81" s="68"/>
    </x:row>
    <x:row r="82" ht="15" hidden="0" customHeight="1">
      <x:c r="A82" s="68"/>
      <x:c r="B82" s="68"/>
      <x:c r="C82" s="68"/>
      <x:c r="D82" s="68"/>
      <x:c r="E82" s="68"/>
      <x:c r="F82" s="68"/>
      <x:c r="G82" s="68"/>
      <x:c r="H82" s="68"/>
      <x:c r="I82" s="68"/>
      <x:c r="J82" s="68"/>
      <x:c r="K82" s="68"/>
      <x:c r="L82" s="68"/>
      <x:c r="M82" s="68"/>
      <x:c r="N82" s="68"/>
      <x:c r="O82" s="68"/>
      <x:c r="P82" s="68"/>
      <x:c r="Q82" s="68"/>
      <x:c r="R82" s="68"/>
    </x:row>
    <x:row r="83" ht="15" hidden="0" customHeight="1">
      <x:c r="A83" s="68"/>
      <x:c r="B83" s="68"/>
      <x:c r="C83" s="68"/>
      <x:c r="D83" s="68"/>
      <x:c r="E83" s="68"/>
      <x:c r="F83" s="68"/>
      <x:c r="G83" s="68"/>
      <x:c r="H83" s="68"/>
      <x:c r="I83" s="68"/>
      <x:c r="J83" s="68"/>
      <x:c r="K83" s="68"/>
      <x:c r="L83" s="68"/>
      <x:c r="M83" s="68"/>
      <x:c r="N83" s="68"/>
      <x:c r="O83" s="68"/>
      <x:c r="P83" s="68"/>
      <x:c r="Q83" s="68"/>
      <x:c r="R83" s="68"/>
    </x:row>
    <x:row r="84" ht="15" hidden="0" customHeight="1">
      <x:c r="A84" s="68"/>
      <x:c r="B84" s="68"/>
      <x:c r="C84" s="68"/>
      <x:c r="D84" s="68"/>
      <x:c r="E84" s="68"/>
      <x:c r="F84" s="68"/>
      <x:c r="G84" s="68"/>
      <x:c r="H84" s="68"/>
      <x:c r="I84" s="68"/>
      <x:c r="J84" s="68"/>
      <x:c r="K84" s="68"/>
      <x:c r="L84" s="68"/>
      <x:c r="M84" s="68"/>
      <x:c r="N84" s="68"/>
      <x:c r="O84" s="68"/>
      <x:c r="P84" s="68"/>
      <x:c r="Q84" s="68"/>
      <x:c r="R84" s="68"/>
    </x:row>
    <x:row r="85" ht="15" hidden="0" customHeight="1">
      <x:c r="A85" s="68"/>
      <x:c r="B85" s="68"/>
      <x:c r="C85" s="68"/>
      <x:c r="D85" s="68"/>
      <x:c r="E85" s="68"/>
      <x:c r="F85" s="68"/>
      <x:c r="G85" s="68"/>
      <x:c r="H85" s="68"/>
      <x:c r="I85" s="68"/>
      <x:c r="J85" s="68"/>
      <x:c r="K85" s="68"/>
      <x:c r="L85" s="68"/>
      <x:c r="M85" s="68"/>
      <x:c r="N85" s="68"/>
      <x:c r="O85" s="68"/>
      <x:c r="P85" s="68"/>
      <x:c r="Q85" s="68"/>
      <x:c r="R85" s="68"/>
    </x:row>
    <x:row r="86" ht="15" hidden="0" customHeight="1">
      <x:c r="A86" s="68"/>
      <x:c r="B86" s="68"/>
      <x:c r="C86" s="68"/>
      <x:c r="D86" s="68"/>
      <x:c r="E86" s="68"/>
      <x:c r="F86" s="68"/>
      <x:c r="G86" s="68"/>
      <x:c r="H86" s="68"/>
      <x:c r="I86" s="68"/>
      <x:c r="J86" s="68"/>
      <x:c r="K86" s="68"/>
      <x:c r="L86" s="68"/>
      <x:c r="M86" s="68"/>
      <x:c r="N86" s="68"/>
      <x:c r="O86" s="68"/>
      <x:c r="P86" s="68"/>
      <x:c r="Q86" s="68"/>
      <x:c r="R86" s="68"/>
    </x:row>
    <x:row r="87" ht="15" hidden="0" customHeight="1">
      <x:c r="A87" s="68"/>
      <x:c r="B87" s="68"/>
      <x:c r="C87" s="68"/>
      <x:c r="D87" s="68"/>
      <x:c r="E87" s="68"/>
      <x:c r="F87" s="68"/>
      <x:c r="G87" s="68"/>
      <x:c r="H87" s="68"/>
      <x:c r="I87" s="68"/>
      <x:c r="J87" s="68"/>
      <x:c r="K87" s="68"/>
      <x:c r="L87" s="68"/>
      <x:c r="M87" s="68"/>
      <x:c r="N87" s="68"/>
      <x:c r="O87" s="68"/>
      <x:c r="P87" s="68"/>
      <x:c r="Q87" s="68"/>
      <x:c r="R87" s="68"/>
    </x:row>
    <x:row r="88" ht="15" hidden="0" customHeight="1">
      <x:c r="A88" s="68"/>
      <x:c r="B88" s="68"/>
      <x:c r="C88" s="68"/>
      <x:c r="D88" s="68"/>
      <x:c r="E88" s="68"/>
      <x:c r="F88" s="68"/>
      <x:c r="G88" s="68"/>
      <x:c r="H88" s="68"/>
      <x:c r="I88" s="68"/>
      <x:c r="J88" s="68"/>
      <x:c r="K88" s="68"/>
      <x:c r="L88" s="68"/>
      <x:c r="M88" s="68"/>
      <x:c r="N88" s="68"/>
      <x:c r="O88" s="68"/>
      <x:c r="P88" s="68"/>
      <x:c r="Q88" s="68"/>
      <x:c r="R88" s="68"/>
    </x:row>
    <x:row r="89" ht="15" hidden="0" customHeight="1">
      <x:c r="A89" s="68"/>
      <x:c r="B89" s="68"/>
      <x:c r="C89" s="68"/>
      <x:c r="D89" s="68"/>
      <x:c r="E89" s="68"/>
      <x:c r="F89" s="68"/>
      <x:c r="G89" s="68"/>
      <x:c r="H89" s="68"/>
      <x:c r="I89" s="68"/>
      <x:c r="J89" s="68"/>
      <x:c r="K89" s="68"/>
      <x:c r="L89" s="68"/>
      <x:c r="M89" s="68"/>
      <x:c r="N89" s="68"/>
      <x:c r="O89" s="68"/>
      <x:c r="P89" s="68"/>
      <x:c r="Q89" s="68"/>
      <x:c r="R89" s="68"/>
    </x:row>
    <x:row r="90" ht="15" hidden="0" customHeight="1">
      <x:c r="A90" s="68"/>
      <x:c r="B90" s="68"/>
      <x:c r="C90" s="68"/>
      <x:c r="D90" s="68"/>
      <x:c r="E90" s="68"/>
      <x:c r="F90" s="68"/>
      <x:c r="G90" s="68"/>
      <x:c r="H90" s="68"/>
      <x:c r="I90" s="68"/>
      <x:c r="J90" s="68"/>
      <x:c r="K90" s="68"/>
      <x:c r="L90" s="68"/>
      <x:c r="M90" s="68"/>
      <x:c r="N90" s="68"/>
      <x:c r="O90" s="68"/>
      <x:c r="P90" s="68"/>
      <x:c r="Q90" s="68"/>
      <x:c r="R90" s="68"/>
    </x:row>
    <x:row r="91" ht="15" hidden="0" customHeight="1">
      <x:c r="A91" s="68"/>
      <x:c r="B91" s="68"/>
      <x:c r="C91" s="68"/>
      <x:c r="D91" s="68"/>
      <x:c r="E91" s="68"/>
      <x:c r="F91" s="68"/>
      <x:c r="G91" s="68"/>
      <x:c r="H91" s="68"/>
      <x:c r="I91" s="68"/>
      <x:c r="J91" s="68"/>
      <x:c r="K91" s="68"/>
      <x:c r="L91" s="68"/>
      <x:c r="M91" s="68"/>
      <x:c r="N91" s="68"/>
      <x:c r="O91" s="68"/>
      <x:c r="P91" s="68"/>
      <x:c r="Q91" s="68"/>
      <x:c r="R91" s="68"/>
    </x:row>
    <x:row r="92" ht="15" hidden="0" customHeight="1">
      <x:c r="A92" s="68"/>
      <x:c r="B92" s="68"/>
      <x:c r="C92" s="68"/>
      <x:c r="D92" s="68"/>
      <x:c r="E92" s="68"/>
      <x:c r="F92" s="68"/>
      <x:c r="G92" s="68"/>
      <x:c r="H92" s="68"/>
      <x:c r="I92" s="68"/>
      <x:c r="J92" s="68"/>
      <x:c r="K92" s="68"/>
      <x:c r="L92" s="68"/>
      <x:c r="M92" s="68"/>
      <x:c r="N92" s="68"/>
      <x:c r="O92" s="68"/>
      <x:c r="P92" s="68"/>
      <x:c r="Q92" s="68"/>
      <x:c r="R92" s="68"/>
    </x:row>
    <x:row r="93" ht="15" hidden="0" customHeight="1">
      <x:c r="A93" s="68"/>
      <x:c r="B93" s="68"/>
      <x:c r="C93" s="68"/>
      <x:c r="D93" s="68"/>
      <x:c r="E93" s="68"/>
      <x:c r="F93" s="68"/>
      <x:c r="G93" s="68"/>
      <x:c r="H93" s="68"/>
      <x:c r="I93" s="68"/>
      <x:c r="J93" s="68"/>
      <x:c r="K93" s="68"/>
      <x:c r="L93" s="68"/>
      <x:c r="M93" s="68"/>
      <x:c r="N93" s="68"/>
      <x:c r="O93" s="68"/>
      <x:c r="P93" s="68"/>
      <x:c r="Q93" s="68"/>
      <x:c r="R93" s="68"/>
    </x:row>
    <x:row r="94" ht="15" hidden="0" customHeight="1">
      <x:c r="A94" s="68"/>
      <x:c r="B94" s="68"/>
      <x:c r="C94" s="68"/>
      <x:c r="D94" s="68"/>
      <x:c r="E94" s="68"/>
      <x:c r="F94" s="68"/>
      <x:c r="G94" s="68"/>
      <x:c r="H94" s="68"/>
      <x:c r="I94" s="68"/>
      <x:c r="J94" s="68"/>
      <x:c r="K94" s="68"/>
      <x:c r="L94" s="68"/>
      <x:c r="M94" s="68"/>
      <x:c r="N94" s="68"/>
      <x:c r="O94" s="68"/>
      <x:c r="P94" s="68"/>
      <x:c r="Q94" s="68"/>
      <x:c r="R94" s="68"/>
    </x:row>
    <x:row r="95" ht="15" hidden="0" customHeight="1">
      <x:c r="A95" s="68"/>
      <x:c r="B95" s="68"/>
      <x:c r="C95" s="68"/>
      <x:c r="D95" s="68"/>
      <x:c r="E95" s="68"/>
      <x:c r="F95" s="68"/>
      <x:c r="G95" s="68"/>
      <x:c r="H95" s="68"/>
      <x:c r="I95" s="68"/>
      <x:c r="J95" s="68"/>
      <x:c r="K95" s="68"/>
      <x:c r="L95" s="68"/>
      <x:c r="M95" s="68"/>
      <x:c r="N95" s="68"/>
      <x:c r="O95" s="68"/>
      <x:c r="P95" s="68"/>
      <x:c r="Q95" s="68"/>
      <x:c r="R95" s="68"/>
    </x:row>
    <x:row r="96" ht="15" hidden="0" customHeight="1">
      <x:c r="A96" s="68"/>
      <x:c r="B96" s="68"/>
      <x:c r="C96" s="68"/>
      <x:c r="D96" s="68"/>
      <x:c r="E96" s="68"/>
      <x:c r="F96" s="68"/>
      <x:c r="G96" s="68"/>
      <x:c r="H96" s="68"/>
      <x:c r="I96" s="68"/>
      <x:c r="J96" s="68"/>
      <x:c r="K96" s="68"/>
      <x:c r="L96" s="68"/>
      <x:c r="M96" s="68"/>
      <x:c r="N96" s="68"/>
      <x:c r="O96" s="68"/>
      <x:c r="P96" s="68"/>
      <x:c r="Q96" s="68"/>
      <x:c r="R96" s="68"/>
    </x:row>
    <x:row r="97" ht="15" hidden="0" customHeight="1">
      <x:c r="A97" s="68"/>
      <x:c r="B97" s="68"/>
      <x:c r="C97" s="68"/>
      <x:c r="D97" s="68"/>
      <x:c r="E97" s="68"/>
      <x:c r="F97" s="68"/>
      <x:c r="G97" s="68"/>
      <x:c r="H97" s="68"/>
      <x:c r="I97" s="68"/>
      <x:c r="J97" s="68"/>
      <x:c r="K97" s="68"/>
      <x:c r="L97" s="68"/>
      <x:c r="M97" s="68"/>
      <x:c r="N97" s="68"/>
      <x:c r="O97" s="68"/>
      <x:c r="P97" s="68"/>
      <x:c r="Q97" s="68"/>
      <x:c r="R97" s="68"/>
    </x:row>
    <x:row r="98" ht="15" hidden="0" customHeight="1">
      <x:c r="A98" s="68"/>
      <x:c r="B98" s="68"/>
      <x:c r="C98" s="68"/>
      <x:c r="D98" s="68"/>
      <x:c r="E98" s="68"/>
      <x:c r="F98" s="68"/>
      <x:c r="G98" s="68"/>
      <x:c r="H98" s="68"/>
      <x:c r="I98" s="68"/>
      <x:c r="J98" s="68"/>
      <x:c r="K98" s="68"/>
      <x:c r="L98" s="68"/>
      <x:c r="M98" s="68"/>
      <x:c r="N98" s="68"/>
      <x:c r="O98" s="68"/>
      <x:c r="P98" s="68"/>
      <x:c r="Q98" s="68"/>
      <x:c r="R98" s="68"/>
    </x:row>
    <x:row r="99" ht="15" hidden="0" customHeight="1">
      <x:c r="A99" s="68"/>
      <x:c r="B99" s="68"/>
      <x:c r="C99" s="68"/>
      <x:c r="D99" s="68"/>
      <x:c r="E99" s="68"/>
      <x:c r="F99" s="68"/>
      <x:c r="G99" s="68"/>
      <x:c r="H99" s="68"/>
      <x:c r="I99" s="68"/>
      <x:c r="J99" s="68"/>
      <x:c r="K99" s="68"/>
      <x:c r="L99" s="68"/>
      <x:c r="M99" s="68"/>
      <x:c r="N99" s="68"/>
      <x:c r="O99" s="68"/>
      <x:c r="P99" s="68"/>
      <x:c r="Q99" s="68"/>
      <x:c r="R99" s="68"/>
    </x:row>
    <x:row r="100" ht="15" hidden="0" customHeight="1">
      <x:c r="A100" s="68"/>
      <x:c r="B100" s="68"/>
      <x:c r="C100" s="68"/>
      <x:c r="D100" s="68"/>
      <x:c r="E100" s="68"/>
      <x:c r="F100" s="68"/>
      <x:c r="G100" s="68"/>
      <x:c r="H100" s="68"/>
      <x:c r="I100" s="68"/>
      <x:c r="J100" s="68"/>
      <x:c r="K100" s="68"/>
      <x:c r="L100" s="68"/>
      <x:c r="M100" s="68"/>
      <x:c r="N100" s="68"/>
      <x:c r="O100" s="68"/>
      <x:c r="P100" s="68"/>
      <x:c r="Q100" s="68"/>
      <x:c r="R100" s="68"/>
    </x:row>
    <x:row r="101" ht="15" hidden="0" customHeight="1">
      <x:c r="A101" s="68"/>
      <x:c r="B101" s="68"/>
      <x:c r="C101" s="68"/>
      <x:c r="D101" s="68"/>
      <x:c r="E101" s="68"/>
      <x:c r="F101" s="68"/>
      <x:c r="G101" s="68"/>
      <x:c r="H101" s="68"/>
      <x:c r="I101" s="68"/>
      <x:c r="J101" s="68"/>
      <x:c r="K101" s="68"/>
      <x:c r="L101" s="68"/>
      <x:c r="M101" s="68"/>
      <x:c r="N101" s="68"/>
      <x:c r="O101" s="68"/>
      <x:c r="P101" s="68"/>
      <x:c r="Q101" s="68"/>
      <x:c r="R101" s="68"/>
    </x:row>
    <x:row r="102" ht="15" hidden="0" customHeight="1">
      <x:c r="A102" s="68"/>
      <x:c r="B102" s="68"/>
      <x:c r="C102" s="68"/>
      <x:c r="D102" s="68"/>
      <x:c r="E102" s="68"/>
      <x:c r="F102" s="68"/>
      <x:c r="G102" s="68"/>
      <x:c r="H102" s="68"/>
      <x:c r="I102" s="68"/>
      <x:c r="J102" s="68"/>
      <x:c r="K102" s="68"/>
      <x:c r="L102" s="68"/>
      <x:c r="M102" s="68"/>
      <x:c r="N102" s="68"/>
      <x:c r="O102" s="68"/>
      <x:c r="P102" s="68"/>
      <x:c r="Q102" s="68"/>
      <x:c r="R102" s="68"/>
    </x:row>
    <x:row r="103" ht="15" hidden="0" customHeight="1">
      <x:c r="A103" s="68"/>
      <x:c r="B103" s="68"/>
      <x:c r="C103" s="68"/>
      <x:c r="D103" s="68"/>
      <x:c r="E103" s="68"/>
      <x:c r="F103" s="68"/>
      <x:c r="G103" s="68"/>
      <x:c r="H103" s="68"/>
      <x:c r="I103" s="68"/>
      <x:c r="J103" s="68"/>
      <x:c r="K103" s="68"/>
      <x:c r="L103" s="68"/>
      <x:c r="M103" s="68"/>
      <x:c r="N103" s="68"/>
      <x:c r="O103" s="68"/>
      <x:c r="P103" s="68"/>
      <x:c r="Q103" s="68"/>
      <x:c r="R103" s="68"/>
    </x:row>
    <x:row r="104" ht="15" hidden="0" customHeight="1">
      <x:c r="A104" s="68"/>
      <x:c r="B104" s="68"/>
      <x:c r="C104" s="68"/>
      <x:c r="D104" s="68"/>
      <x:c r="E104" s="68"/>
      <x:c r="F104" s="68"/>
      <x:c r="G104" s="68"/>
      <x:c r="H104" s="68"/>
      <x:c r="I104" s="68"/>
      <x:c r="J104" s="68"/>
      <x:c r="K104" s="68"/>
      <x:c r="L104" s="68"/>
      <x:c r="M104" s="68"/>
      <x:c r="N104" s="68"/>
      <x:c r="O104" s="68"/>
      <x:c r="P104" s="68"/>
      <x:c r="Q104" s="68"/>
      <x:c r="R104" s="68"/>
    </x:row>
    <x:row r="105" ht="15" hidden="0" customHeight="1">
      <x:c r="A105" s="68"/>
      <x:c r="B105" s="68"/>
      <x:c r="C105" s="68"/>
      <x:c r="D105" s="68"/>
      <x:c r="E105" s="68"/>
      <x:c r="F105" s="68"/>
      <x:c r="G105" s="68"/>
      <x:c r="H105" s="68"/>
      <x:c r="I105" s="68"/>
      <x:c r="J105" s="68"/>
      <x:c r="K105" s="68"/>
      <x:c r="L105" s="68"/>
      <x:c r="M105" s="68"/>
      <x:c r="N105" s="68"/>
      <x:c r="O105" s="68"/>
      <x:c r="P105" s="68"/>
      <x:c r="Q105" s="68"/>
      <x:c r="R105" s="68"/>
    </x:row>
    <x:row r="106" ht="15" hidden="0" customHeight="1">
      <x:c r="A106" s="68"/>
      <x:c r="B106" s="68"/>
      <x:c r="C106" s="68"/>
      <x:c r="D106" s="68"/>
      <x:c r="E106" s="68"/>
      <x:c r="F106" s="68"/>
      <x:c r="G106" s="68"/>
      <x:c r="H106" s="68"/>
      <x:c r="I106" s="68"/>
      <x:c r="J106" s="68"/>
      <x:c r="K106" s="68"/>
      <x:c r="L106" s="68"/>
      <x:c r="M106" s="68"/>
      <x:c r="N106" s="68"/>
      <x:c r="O106" s="68"/>
      <x:c r="P106" s="68"/>
      <x:c r="Q106" s="68"/>
      <x:c r="R106" s="68"/>
    </x:row>
    <x:row r="107" ht="15" hidden="0" customHeight="1">
      <x:c r="A107" s="68"/>
      <x:c r="B107" s="68"/>
      <x:c r="C107" s="68"/>
      <x:c r="D107" s="68"/>
      <x:c r="E107" s="68"/>
      <x:c r="F107" s="68"/>
      <x:c r="G107" s="68"/>
      <x:c r="H107" s="68"/>
      <x:c r="I107" s="68"/>
      <x:c r="J107" s="68"/>
      <x:c r="K107" s="68"/>
      <x:c r="L107" s="68"/>
      <x:c r="M107" s="68"/>
      <x:c r="N107" s="68"/>
      <x:c r="O107" s="68"/>
      <x:c r="P107" s="68"/>
      <x:c r="Q107" s="68"/>
      <x:c r="R107" s="68"/>
    </x:row>
    <x:row r="108" ht="15" hidden="0" customHeight="1">
      <x:c r="A108" s="68"/>
      <x:c r="B108" s="68"/>
      <x:c r="C108" s="68"/>
      <x:c r="D108" s="68"/>
      <x:c r="E108" s="68"/>
      <x:c r="F108" s="68"/>
      <x:c r="G108" s="68"/>
      <x:c r="H108" s="68"/>
      <x:c r="I108" s="68"/>
      <x:c r="J108" s="68"/>
      <x:c r="K108" s="68"/>
      <x:c r="L108" s="68"/>
      <x:c r="M108" s="68"/>
      <x:c r="N108" s="68"/>
      <x:c r="O108" s="68"/>
      <x:c r="P108" s="68"/>
      <x:c r="Q108" s="68"/>
      <x:c r="R108" s="68"/>
    </x:row>
    <x:row r="109" ht="15" hidden="0" customHeight="1">
      <x:c r="A109" s="68"/>
      <x:c r="B109" s="68"/>
      <x:c r="C109" s="68"/>
      <x:c r="D109" s="68"/>
      <x:c r="E109" s="68"/>
      <x:c r="F109" s="68"/>
      <x:c r="G109" s="68"/>
      <x:c r="H109" s="68"/>
      <x:c r="I109" s="68"/>
      <x:c r="J109" s="68"/>
      <x:c r="K109" s="68"/>
      <x:c r="L109" s="68"/>
      <x:c r="M109" s="68"/>
      <x:c r="N109" s="68"/>
      <x:c r="O109" s="68"/>
      <x:c r="P109" s="68"/>
      <x:c r="Q109" s="68"/>
      <x:c r="R109" s="68"/>
    </x:row>
    <x:row r="110" ht="15" hidden="0" customHeight="1">
      <x:c r="A110" s="68"/>
      <x:c r="B110" s="68"/>
      <x:c r="C110" s="68"/>
      <x:c r="D110" s="68"/>
      <x:c r="E110" s="68"/>
      <x:c r="F110" s="68"/>
      <x:c r="G110" s="68"/>
      <x:c r="H110" s="68"/>
      <x:c r="I110" s="68"/>
      <x:c r="J110" s="68"/>
      <x:c r="K110" s="68"/>
      <x:c r="L110" s="68"/>
      <x:c r="M110" s="68"/>
      <x:c r="N110" s="68"/>
      <x:c r="O110" s="68"/>
      <x:c r="P110" s="68"/>
      <x:c r="Q110" s="68"/>
      <x:c r="R110" s="68"/>
    </x:row>
    <x:row r="111" ht="15" hidden="0" customHeight="1">
      <x:c r="A111" s="68"/>
      <x:c r="B111" s="68"/>
      <x:c r="C111" s="68"/>
      <x:c r="D111" s="68"/>
      <x:c r="E111" s="68"/>
      <x:c r="F111" s="68"/>
      <x:c r="G111" s="68"/>
      <x:c r="H111" s="68"/>
      <x:c r="I111" s="68"/>
      <x:c r="J111" s="68"/>
      <x:c r="K111" s="68"/>
      <x:c r="L111" s="68"/>
      <x:c r="M111" s="68"/>
      <x:c r="N111" s="68"/>
      <x:c r="O111" s="68"/>
      <x:c r="P111" s="68"/>
      <x:c r="Q111" s="68"/>
      <x:c r="R111" s="68"/>
    </x:row>
    <x:row r="112" ht="15" hidden="0" customHeight="1">
      <x:c r="A112" s="68"/>
      <x:c r="B112" s="68"/>
      <x:c r="C112" s="68"/>
      <x:c r="D112" s="68"/>
      <x:c r="E112" s="68"/>
      <x:c r="F112" s="68"/>
      <x:c r="G112" s="68"/>
      <x:c r="H112" s="68"/>
      <x:c r="I112" s="68"/>
      <x:c r="J112" s="68"/>
      <x:c r="K112" s="68"/>
      <x:c r="L112" s="68"/>
      <x:c r="M112" s="68"/>
      <x:c r="N112" s="68"/>
      <x:c r="O112" s="68"/>
      <x:c r="P112" s="68"/>
      <x:c r="Q112" s="68"/>
      <x:c r="R112" s="68"/>
    </x:row>
    <x:row r="113" ht="15" hidden="0" customHeight="1">
      <x:c r="A113" s="68"/>
      <x:c r="B113" s="68"/>
      <x:c r="C113" s="68"/>
      <x:c r="D113" s="68"/>
      <x:c r="E113" s="68"/>
      <x:c r="F113" s="68"/>
      <x:c r="G113" s="68"/>
      <x:c r="H113" s="68"/>
      <x:c r="I113" s="68"/>
      <x:c r="J113" s="68"/>
      <x:c r="K113" s="68"/>
      <x:c r="L113" s="68"/>
      <x:c r="M113" s="68"/>
      <x:c r="N113" s="68"/>
      <x:c r="O113" s="68"/>
      <x:c r="P113" s="68"/>
      <x:c r="Q113" s="68"/>
      <x:c r="R113" s="68"/>
    </x:row>
    <x:row r="114" ht="15" hidden="0" customHeight="1">
      <x:c r="A114" s="68"/>
      <x:c r="B114" s="68"/>
      <x:c r="C114" s="68"/>
      <x:c r="D114" s="68"/>
      <x:c r="E114" s="68"/>
      <x:c r="F114" s="68"/>
      <x:c r="G114" s="68"/>
      <x:c r="H114" s="68"/>
      <x:c r="I114" s="68"/>
      <x:c r="J114" s="68"/>
      <x:c r="K114" s="68"/>
      <x:c r="L114" s="68"/>
      <x:c r="M114" s="68"/>
      <x:c r="N114" s="68"/>
      <x:c r="O114" s="68"/>
      <x:c r="P114" s="68"/>
      <x:c r="Q114" s="68"/>
      <x:c r="R114" s="68"/>
    </x:row>
    <x:row r="115" ht="15" hidden="0" customHeight="1">
      <x:c r="A115" s="68"/>
      <x:c r="B115" s="68"/>
      <x:c r="C115" s="68"/>
      <x:c r="D115" s="68"/>
      <x:c r="E115" s="68"/>
      <x:c r="F115" s="68"/>
      <x:c r="G115" s="68"/>
      <x:c r="H115" s="68"/>
      <x:c r="I115" s="68"/>
      <x:c r="J115" s="68"/>
      <x:c r="K115" s="68"/>
      <x:c r="L115" s="68"/>
      <x:c r="M115" s="68"/>
      <x:c r="N115" s="68"/>
      <x:c r="O115" s="68"/>
      <x:c r="P115" s="68"/>
      <x:c r="Q115" s="68"/>
      <x:c r="R115" s="68"/>
    </x:row>
    <x:row r="116" ht="15" hidden="0" customHeight="1">
      <x:c r="A116" s="68"/>
      <x:c r="B116" s="68"/>
      <x:c r="C116" s="68"/>
      <x:c r="D116" s="68"/>
      <x:c r="E116" s="68"/>
      <x:c r="F116" s="68"/>
      <x:c r="G116" s="68"/>
      <x:c r="H116" s="68"/>
      <x:c r="I116" s="68"/>
      <x:c r="J116" s="68"/>
      <x:c r="K116" s="68"/>
      <x:c r="L116" s="68"/>
      <x:c r="M116" s="68"/>
      <x:c r="N116" s="68"/>
      <x:c r="O116" s="68"/>
      <x:c r="P116" s="68"/>
      <x:c r="Q116" s="68"/>
      <x:c r="R116" s="68"/>
    </x:row>
    <x:row r="117" ht="15" hidden="0" customHeight="1">
      <x:c r="A117" s="68"/>
      <x:c r="B117" s="68"/>
      <x:c r="C117" s="68"/>
      <x:c r="D117" s="68"/>
      <x:c r="E117" s="68"/>
      <x:c r="F117" s="68"/>
      <x:c r="G117" s="68"/>
      <x:c r="H117" s="68"/>
      <x:c r="I117" s="68"/>
      <x:c r="J117" s="68"/>
      <x:c r="K117" s="68"/>
      <x:c r="L117" s="68"/>
      <x:c r="M117" s="68"/>
      <x:c r="N117" s="68"/>
      <x:c r="O117" s="68"/>
      <x:c r="P117" s="68"/>
      <x:c r="Q117" s="68"/>
      <x:c r="R117" s="68"/>
    </x:row>
    <x:row r="118" ht="15" hidden="0" customHeight="1">
      <x:c r="A118" s="68"/>
      <x:c r="B118" s="68"/>
      <x:c r="C118" s="68"/>
      <x:c r="D118" s="68"/>
      <x:c r="E118" s="68"/>
      <x:c r="F118" s="68"/>
      <x:c r="G118" s="68"/>
      <x:c r="H118" s="68"/>
      <x:c r="I118" s="68"/>
      <x:c r="J118" s="68"/>
      <x:c r="K118" s="68"/>
      <x:c r="L118" s="68"/>
      <x:c r="M118" s="68"/>
      <x:c r="N118" s="68"/>
      <x:c r="O118" s="68"/>
      <x:c r="P118" s="68"/>
      <x:c r="Q118" s="68"/>
      <x:c r="R118" s="68"/>
    </x:row>
    <x:row r="119" ht="15" hidden="0" customHeight="1">
      <x:c r="A119" s="68"/>
      <x:c r="B119" s="68"/>
      <x:c r="C119" s="68"/>
      <x:c r="D119" s="68"/>
      <x:c r="E119" s="68"/>
      <x:c r="F119" s="68"/>
      <x:c r="G119" s="68"/>
      <x:c r="H119" s="68"/>
      <x:c r="I119" s="68"/>
      <x:c r="J119" s="68"/>
      <x:c r="K119" s="68"/>
      <x:c r="L119" s="68"/>
      <x:c r="M119" s="68"/>
      <x:c r="N119" s="68"/>
      <x:c r="O119" s="68"/>
      <x:c r="P119" s="68"/>
      <x:c r="Q119" s="68"/>
      <x:c r="R119" s="68"/>
    </x:row>
    <x:row r="120" ht="15" hidden="0" customHeight="1">
      <x:c r="A120" s="68"/>
      <x:c r="B120" s="68"/>
      <x:c r="C120" s="68"/>
      <x:c r="D120" s="68"/>
      <x:c r="E120" s="68"/>
      <x:c r="F120" s="68"/>
      <x:c r="G120" s="68"/>
      <x:c r="H120" s="68"/>
      <x:c r="I120" s="68"/>
      <x:c r="J120" s="68"/>
      <x:c r="K120" s="68"/>
      <x:c r="L120" s="68"/>
      <x:c r="M120" s="68"/>
      <x:c r="N120" s="68"/>
      <x:c r="O120" s="68"/>
      <x:c r="P120" s="68"/>
      <x:c r="Q120" s="68"/>
      <x:c r="R120" s="68"/>
    </x:row>
  </x:sheetData>
  <x:mergeCells>
    <x:mergeCell ref="C2:L2"/>
    <x:mergeCell ref="C3:L3"/>
    <x:mergeCell ref="C6:G6"/>
    <x:mergeCell ref="C16:G16"/>
    <x:mergeCell ref="C26:F26"/>
  </x:mergeCells>
  <x:conditionalFormatting sqref="D8:G12">
    <x:cfRule type="colorScale" priority="1">
      <x:colorScale>
        <x:cfvo type="min"/>
        <x:cfvo type="percentile" val="50"/>
        <x:cfvo type="max"/>
        <x:color rgb="FFFCE8E6"/>
        <x:color rgb="FFFFF5CC"/>
        <x:color rgb="FFDDEEDF"/>
      </x:colorScale>
    </x:cfRule>
  </x:conditionalFormatting>
  <x:conditionalFormatting sqref="D18:G22">
    <x:cfRule type="colorScale" priority="2">
      <x:colorScale>
        <x:cfvo type="min"/>
        <x:cfvo type="percentile" val="50"/>
        <x:cfvo type="max"/>
        <x:color rgb="FFFCE8E6"/>
        <x:color rgb="FFFFF5CC"/>
        <x:color rgb="FFDDEEDF"/>
      </x:colorScale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28" hidden="0" customWidth="1"/>
    <x:col min="4" max="4" width="13" hidden="0" customWidth="1"/>
    <x:col min="5" max="5" width="42" hidden="0" customWidth="1"/>
    <x:col min="6" max="6" width="42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 ht="15" hidden="0" customHeight="1">
      <x:c r="A1" s="68"/>
      <x:c r="B1" s="68"/>
      <x:c r="C1" s="68"/>
      <x:c r="D1" s="68"/>
      <x:c r="E1" s="68"/>
      <x:c r="F1" s="68"/>
      <x:c r="G1" s="68"/>
      <x:c r="H1" s="68"/>
      <x:c r="I1" s="68"/>
      <x:c r="J1" s="68"/>
      <x:c r="K1" s="68"/>
      <x:c r="L1" s="68"/>
      <x:c r="M1" s="68"/>
      <x:c r="N1" s="68"/>
      <x:c r="O1" s="68"/>
      <x:c r="P1" s="68"/>
      <x:c r="Q1" s="68"/>
      <x:c r="R1" s="68"/>
    </x:row>
    <x:row r="2" ht="24" hidden="0" customHeight="1">
      <x:c r="A2" s="68"/>
      <x:c r="B2" s="68"/>
      <x:c r="C2" s="69" t="str">
        <x:v>Avocado Operator Reference</x:v>
      </x:c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</x:row>
    <x:row r="3" ht="24" hidden="0" customHeight="1">
      <x:c r="A3" s="68"/>
      <x:c r="B3" s="68"/>
      <x:c r="C3" s="71" t="str">
        <x:v>First 15 years from the 1-hectare multi-crop source model. Forecast schedules display in Rp billions.</x:v>
      </x:c>
      <x:c r="D3" s="68"/>
      <x:c r="E3" s="68"/>
      <x:c r="F3" s="68"/>
      <x:c r="G3" s="68"/>
      <x:c r="H3" s="68"/>
      <x:c r="I3" s="68"/>
      <x:c r="J3" s="68"/>
      <x:c r="K3" s="68"/>
      <x:c r="L3" s="68"/>
      <x:c r="M3" s="68"/>
      <x:c r="N3" s="68"/>
      <x:c r="O3" s="68"/>
      <x:c r="P3" s="68"/>
      <x:c r="Q3" s="68"/>
      <x:c r="R3" s="68"/>
    </x:row>
    <x:row r="4" ht="15" hidden="0" customHeight="1">
      <x:c r="A4" s="68"/>
      <x:c r="B4" s="68"/>
      <x:c r="C4" s="68"/>
      <x:c r="D4" s="68"/>
      <x:c r="E4" s="68"/>
      <x:c r="F4" s="68"/>
      <x:c r="G4" s="68"/>
      <x:c r="H4" s="68"/>
      <x:c r="I4" s="68"/>
      <x:c r="J4" s="68"/>
      <x:c r="K4" s="68"/>
      <x:c r="L4" s="68"/>
      <x:c r="M4" s="68"/>
      <x:c r="N4" s="68"/>
      <x:c r="O4" s="68"/>
      <x:c r="P4" s="68"/>
      <x:c r="Q4" s="68"/>
      <x:c r="R4" s="68"/>
    </x:row>
    <x:row r="5" ht="15" hidden="0" customHeight="1">
      <x:c r="A5" s="68"/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</x:row>
    <x:row r="6" ht="15" hidden="0" customHeight="1">
      <x:c r="A6" s="68"/>
      <x:c r="B6" s="68"/>
      <x:c r="C6" s="19" t="str">
        <x:v>Metric</x:v>
      </x:c>
      <x:c r="D6" s="19" t="str">
        <x:v>Year 1</x:v>
      </x:c>
      <x:c r="E6" s="19" t="str">
        <x:v>Year 2</x:v>
      </x:c>
      <x:c r="F6" s="19" t="str">
        <x:v>Year 3</x:v>
      </x:c>
      <x:c r="G6" s="19" t="str">
        <x:v>Year 4</x:v>
      </x:c>
      <x:c r="H6" s="19" t="str">
        <x:v>Year 5</x:v>
      </x:c>
      <x:c r="I6" s="19" t="str">
        <x:v>Year 6</x:v>
      </x:c>
      <x:c r="J6" s="19" t="str">
        <x:v>Year 7</x:v>
      </x:c>
      <x:c r="K6" s="19" t="str">
        <x:v>Year 8</x:v>
      </x:c>
      <x:c r="L6" s="19" t="str">
        <x:v>Year 9</x:v>
      </x:c>
      <x:c r="M6" s="19" t="str">
        <x:v>Year 10</x:v>
      </x:c>
      <x:c r="N6" s="19" t="str">
        <x:v>Year 11</x:v>
      </x:c>
      <x:c r="O6" s="19" t="str">
        <x:v>Year 12</x:v>
      </x:c>
      <x:c r="P6" s="19" t="str">
        <x:v>Year 13</x:v>
      </x:c>
      <x:c r="Q6" s="19" t="str">
        <x:v>Year 14</x:v>
      </x:c>
      <x:c r="R6" s="19" t="str">
        <x:v>Year 15</x:v>
      </x:c>
    </x:row>
    <x:row r="7" ht="15" hidden="0" customHeight="1">
      <x:c r="A7" s="68"/>
      <x:c r="B7" s="68"/>
      <x:c r="C7" s="68" t="str">
        <x:v>Revenue per ha</x:v>
      </x:c>
      <x:c r="D7" s="101" t="n">
        <x:v>9000000</x:v>
      </x:c>
      <x:c r="E7" s="101" t="n">
        <x:v>146575000</x:v>
      </x:c>
      <x:c r="F7" s="101" t="n">
        <x:v>452735325</x:v>
      </x:c>
      <x:c r="G7" s="101" t="n">
        <x:v>898126781.25</x:v>
      </x:c>
      <x:c r="H7" s="101" t="n">
        <x:v>1227528239.40625</x:v>
      </x:c>
      <x:c r="I7" s="101" t="n">
        <x:v>1419926358.44344</x:v>
      </x:c>
      <x:c r="J7" s="101" t="n">
        <x:v>1600386194.6811302</x:v>
      </x:c>
      <x:c r="K7" s="101" t="n">
        <x:v>1837995837.12344</x:v>
      </x:c>
      <x:c r="L7" s="101" t="n">
        <x:v>2074321185.7874498</x:v>
      </x:c>
      <x:c r="M7" s="101" t="n">
        <x:v>2321314054.48646</x:v>
      </x:c>
      <x:c r="N7" s="101" t="n">
        <x:v>2579360115.8793097</x:v>
      </x:c>
      <x:c r="O7" s="101" t="n">
        <x:v>2848857659.0577397</x:v>
      </x:c>
      <x:c r="P7" s="101" t="n">
        <x:v>3130217979.32266</x:v>
      </x:c>
      <x:c r="Q7" s="101" t="n">
        <x:v>3423865779.56392</x:v>
      </x:c>
      <x:c r="R7" s="101" t="n">
        <x:v>3730239583.5801697</x:v>
      </x:c>
    </x:row>
    <x:row r="8" ht="15" hidden="0" customHeight="1">
      <x:c r="A8" s="68"/>
      <x:c r="B8" s="68"/>
      <x:c r="C8" s="68" t="str">
        <x:v>Operating cost per ha</x:v>
      </x:c>
      <x:c r="D8" s="101" t="n">
        <x:v>187497754.56</x:v>
      </x:c>
      <x:c r="E8" s="101" t="n">
        <x:v>216910142.28800002</x:v>
      </x:c>
      <x:c r="F8" s="101" t="n">
        <x:v>272046565.65239996</x:v>
      </x:c>
      <x:c r="G8" s="101" t="n">
        <x:v>346917088.90376997</x:v>
      </x:c>
      <x:c r="H8" s="101" t="n">
        <x:v>406172134.26849</x:v>
      </x:c>
      <x:c r="I8" s="101" t="n">
        <x:v>446497543.336537</x:v>
      </x:c>
      <x:c r="J8" s="101" t="n">
        <x:v>483870110.135522</x:v>
      </x:c>
      <x:c r="K8" s="101" t="n">
        <x:v>530257503.565899</x:v>
      </x:c>
      <x:c r="L8" s="101" t="n">
        <x:v>576688336.008099</x:v>
      </x:c>
      <x:c r="M8" s="101" t="n">
        <x:v>625272344.91943</x:v>
      </x:c>
      <x:c r="N8" s="101" t="n">
        <x:v>676096322.14241</x:v>
      </x:c>
      <x:c r="O8" s="101" t="n">
        <x:v>729250460.990858</x:v>
      </x:c>
      <x:c r="P8" s="101" t="n">
        <x:v>784828492.4592761</x:v>
      </x:c>
      <x:c r="Q8" s="101" t="n">
        <x:v>842927827.135827</x:v>
      </x:c>
      <x:c r="R8" s="101" t="n">
        <x:v>903649703.0698919</x:v>
      </x:c>
    </x:row>
    <x:row r="9" ht="15" hidden="0" customHeight="1">
      <x:c r="A9" s="68"/>
      <x:c r="B9" s="68"/>
      <x:c r="C9" s="68" t="str">
        <x:v>EBITDA per ha</x:v>
      </x:c>
      <x:c r="D9" s="101" t="n">
        <x:v>-178497754.56</x:v>
      </x:c>
      <x:c r="E9" s="101" t="n">
        <x:v>-70335142.28800002</x:v>
      </x:c>
      <x:c r="F9" s="101" t="n">
        <x:v>180688759.34760004</x:v>
      </x:c>
      <x:c r="G9" s="101" t="n">
        <x:v>551209692.34623</x:v>
      </x:c>
      <x:c r="H9" s="101" t="n">
        <x:v>821356105.1377599</x:v>
      </x:c>
      <x:c r="I9" s="101" t="n">
        <x:v>973428815.106903</x:v>
      </x:c>
      <x:c r="J9" s="101" t="n">
        <x:v>1116516084.545608</x:v>
      </x:c>
      <x:c r="K9" s="101" t="n">
        <x:v>1307738333.557541</x:v>
      </x:c>
      <x:c r="L9" s="101" t="n">
        <x:v>1497632849.7793508</x:v>
      </x:c>
      <x:c r="M9" s="101" t="n">
        <x:v>1696041709.5670302</x:v>
      </x:c>
      <x:c r="N9" s="101" t="n">
        <x:v>1903263793.7368996</x:v>
      </x:c>
      <x:c r="O9" s="101" t="n">
        <x:v>2119607198.0668817</x:v>
      </x:c>
      <x:c r="P9" s="101" t="n">
        <x:v>2345389486.863384</x:v>
      </x:c>
      <x:c r="Q9" s="101" t="n">
        <x:v>2580937952.428093</x:v>
      </x:c>
      <x:c r="R9" s="101" t="n">
        <x:v>2826589880.5102777</x:v>
      </x:c>
    </x:row>
    <x:row r="10" ht="15" hidden="0" customHeight="1">
      <x:c r="A10" s="68"/>
      <x:c r="B10" s="68"/>
      <x:c r="C10" s="68"/>
      <x:c r="D10" s="68"/>
      <x:c r="E10" s="68"/>
      <x:c r="F10" s="68"/>
      <x:c r="G10" s="68"/>
      <x:c r="H10" s="68"/>
      <x:c r="I10" s="68"/>
      <x:c r="J10" s="68"/>
      <x:c r="K10" s="68"/>
      <x:c r="L10" s="68"/>
      <x:c r="M10" s="68"/>
      <x:c r="N10" s="68"/>
      <x:c r="O10" s="68"/>
      <x:c r="P10" s="68"/>
      <x:c r="Q10" s="68"/>
      <x:c r="R10" s="68"/>
    </x:row>
    <x:row r="11" ht="15" hidden="0" customHeight="1">
      <x:c r="A11" s="68"/>
      <x:c r="B11" s="68"/>
      <x:c r="C11" s="68"/>
      <x:c r="D11" s="68"/>
      <x:c r="E11" s="68"/>
      <x:c r="F11" s="68"/>
      <x:c r="G11" s="68"/>
      <x:c r="H11" s="68"/>
      <x:c r="I11" s="68"/>
      <x:c r="J11" s="68"/>
      <x:c r="K11" s="68"/>
      <x:c r="L11" s="68"/>
      <x:c r="M11" s="68"/>
      <x:c r="N11" s="68"/>
      <x:c r="O11" s="68"/>
      <x:c r="P11" s="68"/>
      <x:c r="Q11" s="68"/>
      <x:c r="R11" s="68"/>
    </x:row>
    <x:row r="12" ht="15" hidden="0" customHeight="1">
      <x:c r="A12" s="68"/>
      <x:c r="B12" s="68"/>
      <x:c r="C12" s="11" t="str">
        <x:v>Source Model Inputs</x:v>
      </x:c>
      <x:c r="D12" s="12"/>
      <x:c r="E12" s="12"/>
      <x:c r="F12" s="13"/>
      <x:c r="G12" s="68"/>
      <x:c r="H12" s="68"/>
      <x:c r="I12" s="68"/>
      <x:c r="J12" s="68"/>
      <x:c r="K12" s="68"/>
      <x:c r="L12" s="68"/>
      <x:c r="M12" s="68"/>
      <x:c r="N12" s="68"/>
      <x:c r="O12" s="68"/>
      <x:c r="P12" s="68"/>
      <x:c r="Q12" s="68"/>
      <x:c r="R12" s="68"/>
    </x:row>
    <x:row r="13" ht="15" hidden="0" customHeight="1">
      <x:c r="A13" s="68"/>
      <x:c r="B13" s="68"/>
      <x:c r="C13" s="19" t="str">
        <x:v>Input</x:v>
      </x:c>
      <x:c r="D13" s="19" t="str">
        <x:v>Value</x:v>
      </x:c>
      <x:c r="E13" s="19" t="str">
        <x:v>Unit</x:v>
      </x:c>
      <x:c r="F13" s="19" t="str">
        <x:v>Source note</x:v>
      </x:c>
      <x:c r="G13" s="68"/>
      <x:c r="H13" s="68"/>
      <x:c r="I13" s="68"/>
      <x:c r="J13" s="68"/>
      <x:c r="K13" s="68"/>
      <x:c r="L13" s="68"/>
      <x:c r="M13" s="68"/>
      <x:c r="N13" s="68"/>
      <x:c r="O13" s="68"/>
      <x:c r="P13" s="68"/>
      <x:c r="Q13" s="68"/>
      <x:c r="R13" s="68"/>
    </x:row>
    <x:row r="14" ht="15" hidden="0" customHeight="1">
      <x:c r="A14" s="68"/>
      <x:c r="B14" s="68"/>
      <x:c r="C14" s="68" t="str">
        <x:v>Initial investment per ha</x:v>
      </x:c>
      <x:c r="D14" s="103" t="n">
        <x:v>464850000</x:v>
      </x:c>
      <x:c r="E14" s="68" t="str">
        <x:v>Rp</x:v>
      </x:c>
      <x:c r="F14" s="68" t="str">
        <x:v>User-provided workbook</x:v>
      </x:c>
      <x:c r="G14" s="68"/>
      <x:c r="H14" s="68"/>
      <x:c r="I14" s="68"/>
      <x:c r="J14" s="68"/>
      <x:c r="K14" s="68"/>
      <x:c r="L14" s="68"/>
      <x:c r="M14" s="68"/>
      <x:c r="N14" s="68"/>
      <x:c r="O14" s="68"/>
      <x:c r="P14" s="68"/>
      <x:c r="Q14" s="68"/>
      <x:c r="R14" s="68"/>
    </x:row>
    <x:row r="15" ht="15" hidden="0" customHeight="1">
      <x:c r="A15" s="68"/>
      <x:c r="B15" s="68"/>
      <x:c r="C15" s="68" t="str">
        <x:v>Avocado trees</x:v>
      </x:c>
      <x:c r="D15" s="68" t="n">
        <x:v>250</x:v>
      </x:c>
      <x:c r="E15" s="68" t="str">
        <x:v>trees/ha</x:v>
      </x:c>
      <x:c r="F15" s="68" t="str">
        <x:v>User-provided workbook</x:v>
      </x:c>
      <x:c r="G15" s="68"/>
      <x:c r="H15" s="68"/>
      <x:c r="I15" s="68"/>
      <x:c r="J15" s="68"/>
      <x:c r="K15" s="68"/>
      <x:c r="L15" s="68"/>
      <x:c r="M15" s="68"/>
      <x:c r="N15" s="68"/>
      <x:c r="O15" s="68"/>
      <x:c r="P15" s="68"/>
      <x:c r="Q15" s="68"/>
      <x:c r="R15" s="68"/>
    </x:row>
    <x:row r="16" ht="15" hidden="0" customHeight="1">
      <x:c r="A16" s="68"/>
      <x:c r="B16" s="68"/>
      <x:c r="C16" s="68" t="str">
        <x:v>Avocado harvest frequency</x:v>
      </x:c>
      <x:c r="D16" s="68" t="n">
        <x:v>2</x:v>
      </x:c>
      <x:c r="E16" s="68" t="str">
        <x:v>times/year</x:v>
      </x:c>
      <x:c r="F16" s="68" t="str">
        <x:v>User-provided workbook</x:v>
      </x:c>
      <x:c r="G16" s="68"/>
      <x:c r="H16" s="68"/>
      <x:c r="I16" s="68"/>
      <x:c r="J16" s="68"/>
      <x:c r="K16" s="68"/>
      <x:c r="L16" s="68"/>
      <x:c r="M16" s="68"/>
      <x:c r="N16" s="68"/>
      <x:c r="O16" s="68"/>
      <x:c r="P16" s="68"/>
      <x:c r="Q16" s="68"/>
      <x:c r="R16" s="68"/>
    </x:row>
    <x:row r="17" ht="15" hidden="0" customHeight="1">
      <x:c r="A17" s="68"/>
      <x:c r="B17" s="68"/>
      <x:c r="C17" s="68" t="str">
        <x:v>Reference break-even</x:v>
      </x:c>
      <x:c r="D17" s="68" t="n">
        <x:v>4</x:v>
      </x:c>
      <x:c r="E17" s="68" t="str">
        <x:v>year</x:v>
      </x:c>
      <x:c r="F17" s="68" t="str">
        <x:v>User-provided workbook</x:v>
      </x:c>
      <x:c r="G17" s="68"/>
      <x:c r="H17" s="68"/>
      <x:c r="I17" s="68"/>
      <x:c r="J17" s="68"/>
      <x:c r="K17" s="68"/>
      <x:c r="L17" s="68"/>
      <x:c r="M17" s="68"/>
      <x:c r="N17" s="68"/>
      <x:c r="O17" s="68"/>
      <x:c r="P17" s="68"/>
      <x:c r="Q17" s="68"/>
      <x:c r="R17" s="68"/>
    </x:row>
    <x:row r="18" ht="15" hidden="0" customHeight="1">
      <x:c r="A18" s="68"/>
      <x:c r="B18" s="68"/>
      <x:c r="C18" s="68"/>
      <x:c r="D18" s="68"/>
      <x:c r="E18" s="68"/>
      <x:c r="F18" s="68"/>
      <x:c r="G18" s="68"/>
      <x:c r="H18" s="68"/>
      <x:c r="I18" s="68"/>
      <x:c r="J18" s="68"/>
      <x:c r="K18" s="68"/>
      <x:c r="L18" s="68"/>
      <x:c r="M18" s="68"/>
      <x:c r="N18" s="68"/>
      <x:c r="O18" s="68"/>
      <x:c r="P18" s="68"/>
      <x:c r="Q18" s="68"/>
      <x:c r="R18" s="68"/>
    </x:row>
    <x:row r="19" ht="15" hidden="0" customHeight="1">
      <x:c r="A19" s="68"/>
      <x:c r="B19" s="68"/>
      <x:c r="C19" s="68"/>
      <x:c r="D19" s="68"/>
      <x:c r="E19" s="68"/>
      <x:c r="F19" s="68"/>
      <x:c r="G19" s="68"/>
      <x:c r="H19" s="68"/>
      <x:c r="I19" s="68"/>
      <x:c r="J19" s="68"/>
      <x:c r="K19" s="68"/>
      <x:c r="L19" s="68"/>
      <x:c r="M19" s="68"/>
      <x:c r="N19" s="68"/>
      <x:c r="O19" s="68"/>
      <x:c r="P19" s="68"/>
      <x:c r="Q19" s="68"/>
      <x:c r="R19" s="68"/>
    </x:row>
    <x:row r="20" ht="15" hidden="0" customHeight="1">
      <x:c r="A20" s="68"/>
      <x:c r="B20" s="68"/>
      <x:c r="C20" s="19" t="str">
        <x:v>Source</x:v>
      </x:c>
      <x:c r="D20" s="19" t="str">
        <x:v>Reference</x:v>
      </x:c>
      <x:c r="E20" s="19" t="str">
        <x:v>Accessed</x:v>
      </x:c>
      <x:c r="F20" s="19" t="str">
        <x:v>Caveat</x:v>
      </x:c>
      <x:c r="G20" s="68"/>
      <x:c r="H20" s="68"/>
      <x:c r="I20" s="68"/>
      <x:c r="J20" s="68"/>
      <x:c r="K20" s="68"/>
      <x:c r="L20" s="68"/>
      <x:c r="M20" s="68"/>
      <x:c r="N20" s="68"/>
      <x:c r="O20" s="68"/>
      <x:c r="P20" s="68"/>
      <x:c r="Q20" s="68"/>
      <x:c r="R20" s="68"/>
    </x:row>
    <x:row r="21" ht="15" hidden="0" customHeight="1">
      <x:c r="A21" s="68"/>
      <x:c r="B21" s="68"/>
      <x:c r="C21" s="68" t="str">
        <x:v>Workbook</x:v>
      </x:c>
      <x:c r="D21" s="68" t="str">
        <x:v>Rekap_Produksi_Finansial_25th_Skenario_Y.xlsx</x:v>
      </x:c>
      <x:c r="E21" s="68" t="str">
        <x:v>2026-09-08</x:v>
      </x:c>
      <x:c r="F21" s="68" t="str">
        <x:v>Contains alpukat, jambu air, and salak within a 1-ha reference model</x:v>
      </x:c>
      <x:c r="G21" s="68"/>
      <x:c r="H21" s="68"/>
      <x:c r="I21" s="68"/>
      <x:c r="J21" s="68"/>
      <x:c r="K21" s="68"/>
      <x:c r="L21" s="68"/>
      <x:c r="M21" s="68"/>
      <x:c r="N21" s="68"/>
      <x:c r="O21" s="68"/>
      <x:c r="P21" s="68"/>
      <x:c r="Q21" s="68"/>
      <x:c r="R21" s="68"/>
    </x:row>
    <x:row r="22" ht="15" hidden="0" customHeight="1">
      <x:c r="A22" s="68"/>
      <x:c r="B22" s="68"/>
      <x:c r="C22" s="68" t="str">
        <x:v>Website</x:v>
      </x:c>
      <x:c r="D22" s="68" t="str">
        <x:v>https://alpukat.djoko-saylendro.biz.id/ver2/</x:v>
      </x:c>
      <x:c r="E22" s="68" t="str">
        <x:v>2026-09-08</x:v>
      </x:c>
      <x:c r="F22" s="68" t="str">
        <x:v>Operator marketing and interactive calculator</x:v>
      </x:c>
      <x:c r="G22" s="68"/>
      <x:c r="H22" s="68"/>
      <x:c r="I22" s="68"/>
      <x:c r="J22" s="68"/>
      <x:c r="K22" s="68"/>
      <x:c r="L22" s="68"/>
      <x:c r="M22" s="68"/>
      <x:c r="N22" s="68"/>
      <x:c r="O22" s="68"/>
      <x:c r="P22" s="68"/>
      <x:c r="Q22" s="68"/>
      <x:c r="R22" s="68"/>
    </x:row>
    <x:row r="23" ht="15" hidden="0" customHeight="1">
      <x:c r="A23" s="68"/>
      <x:c r="B23" s="68"/>
      <x:c r="C23" s="68" t="str">
        <x:v>Use in this model</x:v>
      </x:c>
      <x:c r="D23" s="68" t="str">
        <x:v>Scaled by avocado site hectares</x:v>
      </x:c>
      <x:c r="E23" s="68" t="str">
        <x:v>2026-09-08</x:v>
      </x:c>
      <x:c r="F23" s="68" t="str">
        <x:v>Validate agronomy, land suitability, and visitor overlay during due diligence</x:v>
      </x:c>
      <x:c r="G23" s="68"/>
      <x:c r="H23" s="68"/>
      <x:c r="I23" s="68"/>
      <x:c r="J23" s="68"/>
      <x:c r="K23" s="68"/>
      <x:c r="L23" s="68"/>
      <x:c r="M23" s="68"/>
      <x:c r="N23" s="68"/>
      <x:c r="O23" s="68"/>
      <x:c r="P23" s="68"/>
      <x:c r="Q23" s="68"/>
      <x:c r="R23" s="68"/>
    </x:row>
    <x:row r="24" ht="15" hidden="0" customHeight="1">
      <x:c r="A24" s="68"/>
      <x:c r="B24" s="68"/>
      <x:c r="C24" s="68"/>
      <x:c r="D24" s="68"/>
      <x:c r="E24" s="68"/>
      <x:c r="F24" s="68"/>
      <x:c r="G24" s="68"/>
      <x:c r="H24" s="68"/>
      <x:c r="I24" s="68"/>
      <x:c r="J24" s="68"/>
      <x:c r="K24" s="68"/>
      <x:c r="L24" s="68"/>
      <x:c r="M24" s="68"/>
      <x:c r="N24" s="68"/>
      <x:c r="O24" s="68"/>
      <x:c r="P24" s="68"/>
      <x:c r="Q24" s="68"/>
      <x:c r="R24" s="68"/>
    </x:row>
    <x:row r="25" ht="15" hidden="0" customHeight="1">
      <x:c r="A25" s="68"/>
      <x:c r="B25" s="68"/>
      <x:c r="C25" s="68"/>
      <x:c r="D25" s="68"/>
      <x:c r="E25" s="68"/>
      <x:c r="F25" s="68"/>
      <x:c r="G25" s="68"/>
      <x:c r="H25" s="68"/>
      <x:c r="I25" s="68"/>
      <x:c r="J25" s="68"/>
      <x:c r="K25" s="68"/>
      <x:c r="L25" s="68"/>
      <x:c r="M25" s="68"/>
      <x:c r="N25" s="68"/>
      <x:c r="O25" s="68"/>
      <x:c r="P25" s="68"/>
      <x:c r="Q25" s="68"/>
      <x:c r="R25" s="68"/>
    </x:row>
    <x:row r="26" ht="15" hidden="0" customHeight="1">
      <x:c r="A26" s="68"/>
      <x:c r="B26" s="68"/>
      <x:c r="C26" s="68"/>
      <x:c r="D26" s="68"/>
      <x:c r="E26" s="68"/>
      <x:c r="F26" s="68"/>
      <x:c r="G26" s="68"/>
      <x:c r="H26" s="68"/>
      <x:c r="I26" s="68"/>
      <x:c r="J26" s="68"/>
      <x:c r="K26" s="68"/>
      <x:c r="L26" s="68"/>
      <x:c r="M26" s="68"/>
      <x:c r="N26" s="68"/>
      <x:c r="O26" s="68"/>
      <x:c r="P26" s="68"/>
      <x:c r="Q26" s="68"/>
      <x:c r="R26" s="68"/>
    </x:row>
    <x:row r="27" ht="15" hidden="0" customHeight="1">
      <x:c r="A27" s="68"/>
      <x:c r="B27" s="68"/>
      <x:c r="C27" s="68"/>
      <x:c r="D27" s="68"/>
      <x:c r="E27" s="68"/>
      <x:c r="F27" s="68"/>
      <x:c r="G27" s="68"/>
      <x:c r="H27" s="68"/>
      <x:c r="I27" s="68"/>
      <x:c r="J27" s="68"/>
      <x:c r="K27" s="68"/>
      <x:c r="L27" s="68"/>
      <x:c r="M27" s="68"/>
      <x:c r="N27" s="68"/>
      <x:c r="O27" s="68"/>
      <x:c r="P27" s="68"/>
      <x:c r="Q27" s="68"/>
      <x:c r="R27" s="68"/>
    </x:row>
    <x:row r="28" ht="15" hidden="0" customHeight="1">
      <x:c r="A28" s="68"/>
      <x:c r="B28" s="68"/>
      <x:c r="C28" s="68"/>
      <x:c r="D28" s="68"/>
      <x:c r="E28" s="68"/>
      <x:c r="F28" s="68"/>
      <x:c r="G28" s="68"/>
      <x:c r="H28" s="68"/>
      <x:c r="I28" s="68"/>
      <x:c r="J28" s="68"/>
      <x:c r="K28" s="68"/>
      <x:c r="L28" s="68"/>
      <x:c r="M28" s="68"/>
      <x:c r="N28" s="68"/>
      <x:c r="O28" s="68"/>
      <x:c r="P28" s="68"/>
      <x:c r="Q28" s="68"/>
      <x:c r="R28" s="68"/>
    </x:row>
    <x:row r="29" ht="15" hidden="0" customHeight="1">
      <x:c r="A29" s="68"/>
      <x:c r="B29" s="68"/>
      <x:c r="C29" s="68"/>
      <x:c r="D29" s="68"/>
      <x:c r="E29" s="68"/>
      <x:c r="F29" s="68"/>
      <x:c r="G29" s="68"/>
      <x:c r="H29" s="68"/>
      <x:c r="I29" s="68"/>
      <x:c r="J29" s="68"/>
      <x:c r="K29" s="68"/>
      <x:c r="L29" s="68"/>
      <x:c r="M29" s="68"/>
      <x:c r="N29" s="68"/>
      <x:c r="O29" s="68"/>
      <x:c r="P29" s="68"/>
      <x:c r="Q29" s="68"/>
      <x:c r="R29" s="68"/>
    </x:row>
    <x:row r="30" ht="15" hidden="0" customHeight="1">
      <x:c r="A30" s="68"/>
      <x:c r="B30" s="68"/>
      <x:c r="C30" s="68"/>
      <x:c r="D30" s="68"/>
      <x:c r="E30" s="68"/>
      <x:c r="F30" s="68"/>
      <x:c r="G30" s="68"/>
      <x:c r="H30" s="68"/>
      <x:c r="I30" s="68"/>
      <x:c r="J30" s="68"/>
      <x:c r="K30" s="68"/>
      <x:c r="L30" s="68"/>
      <x:c r="M30" s="68"/>
      <x:c r="N30" s="68"/>
      <x:c r="O30" s="68"/>
      <x:c r="P30" s="68"/>
      <x:c r="Q30" s="68"/>
      <x:c r="R30" s="68"/>
    </x:row>
    <x:row r="31" ht="15" hidden="0" customHeight="1">
      <x:c r="A31" s="68"/>
      <x:c r="B31" s="68"/>
      <x:c r="C31" s="68"/>
      <x:c r="D31" s="68"/>
      <x:c r="E31" s="68"/>
      <x:c r="F31" s="68"/>
      <x:c r="G31" s="68"/>
      <x:c r="H31" s="68"/>
      <x:c r="I31" s="68"/>
      <x:c r="J31" s="68"/>
      <x:c r="K31" s="68"/>
      <x:c r="L31" s="68"/>
      <x:c r="M31" s="68"/>
      <x:c r="N31" s="68"/>
      <x:c r="O31" s="68"/>
      <x:c r="P31" s="68"/>
      <x:c r="Q31" s="68"/>
      <x:c r="R31" s="68"/>
    </x:row>
    <x:row r="32" ht="15" hidden="0" customHeight="1">
      <x:c r="A32" s="68"/>
      <x:c r="B32" s="68"/>
      <x:c r="C32" s="68"/>
      <x:c r="D32" s="68"/>
      <x:c r="E32" s="68"/>
      <x:c r="F32" s="68"/>
      <x:c r="G32" s="68"/>
      <x:c r="H32" s="68"/>
      <x:c r="I32" s="68"/>
      <x:c r="J32" s="68"/>
      <x:c r="K32" s="68"/>
      <x:c r="L32" s="68"/>
      <x:c r="M32" s="68"/>
      <x:c r="N32" s="68"/>
      <x:c r="O32" s="68"/>
      <x:c r="P32" s="68"/>
      <x:c r="Q32" s="68"/>
      <x:c r="R32" s="68"/>
    </x:row>
    <x:row r="33" ht="15" hidden="0" customHeight="1">
      <x:c r="A33" s="68"/>
      <x:c r="B33" s="68"/>
      <x:c r="C33" s="68"/>
      <x:c r="D33" s="68"/>
      <x:c r="E33" s="68"/>
      <x:c r="F33" s="68"/>
      <x:c r="G33" s="68"/>
      <x:c r="H33" s="68"/>
      <x:c r="I33" s="68"/>
      <x:c r="J33" s="68"/>
      <x:c r="K33" s="68"/>
      <x:c r="L33" s="68"/>
      <x:c r="M33" s="68"/>
      <x:c r="N33" s="68"/>
      <x:c r="O33" s="68"/>
      <x:c r="P33" s="68"/>
      <x:c r="Q33" s="68"/>
      <x:c r="R33" s="68"/>
    </x:row>
    <x:row r="34" ht="15" hidden="0" customHeight="1">
      <x:c r="A34" s="68"/>
      <x:c r="B34" s="68"/>
      <x:c r="C34" s="68"/>
      <x:c r="D34" s="68"/>
      <x:c r="E34" s="68"/>
      <x:c r="F34" s="68"/>
      <x:c r="G34" s="68"/>
      <x:c r="H34" s="68"/>
      <x:c r="I34" s="68"/>
      <x:c r="J34" s="68"/>
      <x:c r="K34" s="68"/>
      <x:c r="L34" s="68"/>
      <x:c r="M34" s="68"/>
      <x:c r="N34" s="68"/>
      <x:c r="O34" s="68"/>
      <x:c r="P34" s="68"/>
      <x:c r="Q34" s="68"/>
      <x:c r="R34" s="68"/>
    </x:row>
    <x:row r="35" ht="15" hidden="0" customHeight="1">
      <x:c r="A35" s="68"/>
      <x:c r="B35" s="68"/>
      <x:c r="C35" s="68"/>
      <x:c r="D35" s="68"/>
      <x:c r="E35" s="68"/>
      <x:c r="F35" s="68"/>
      <x:c r="G35" s="68"/>
      <x:c r="H35" s="68"/>
      <x:c r="I35" s="68"/>
      <x:c r="J35" s="68"/>
      <x:c r="K35" s="68"/>
      <x:c r="L35" s="68"/>
      <x:c r="M35" s="68"/>
      <x:c r="N35" s="68"/>
      <x:c r="O35" s="68"/>
      <x:c r="P35" s="68"/>
      <x:c r="Q35" s="68"/>
      <x:c r="R35" s="68"/>
    </x:row>
    <x:row r="36" ht="15" hidden="0" customHeight="1">
      <x:c r="A36" s="68"/>
      <x:c r="B36" s="68"/>
      <x:c r="C36" s="68"/>
      <x:c r="D36" s="68"/>
      <x:c r="E36" s="68"/>
      <x:c r="F36" s="68"/>
      <x:c r="G36" s="68"/>
      <x:c r="H36" s="68"/>
      <x:c r="I36" s="68"/>
      <x:c r="J36" s="68"/>
      <x:c r="K36" s="68"/>
      <x:c r="L36" s="68"/>
      <x:c r="M36" s="68"/>
      <x:c r="N36" s="68"/>
      <x:c r="O36" s="68"/>
      <x:c r="P36" s="68"/>
      <x:c r="Q36" s="68"/>
      <x:c r="R36" s="68"/>
    </x:row>
    <x:row r="37" ht="15" hidden="0" customHeight="1">
      <x:c r="A37" s="68"/>
      <x:c r="B37" s="68"/>
      <x:c r="C37" s="68"/>
      <x:c r="D37" s="68"/>
      <x:c r="E37" s="68"/>
      <x:c r="F37" s="68"/>
      <x:c r="G37" s="68"/>
      <x:c r="H37" s="68"/>
      <x:c r="I37" s="68"/>
      <x:c r="J37" s="68"/>
      <x:c r="K37" s="68"/>
      <x:c r="L37" s="68"/>
      <x:c r="M37" s="68"/>
      <x:c r="N37" s="68"/>
      <x:c r="O37" s="68"/>
      <x:c r="P37" s="68"/>
      <x:c r="Q37" s="68"/>
      <x:c r="R37" s="68"/>
    </x:row>
    <x:row r="38" ht="15" hidden="0" customHeight="1">
      <x:c r="A38" s="68"/>
      <x:c r="B38" s="68"/>
      <x:c r="C38" s="68"/>
      <x:c r="D38" s="68"/>
      <x:c r="E38" s="68"/>
      <x:c r="F38" s="68"/>
      <x:c r="G38" s="68"/>
      <x:c r="H38" s="68"/>
      <x:c r="I38" s="68"/>
      <x:c r="J38" s="68"/>
      <x:c r="K38" s="68"/>
      <x:c r="L38" s="68"/>
      <x:c r="M38" s="68"/>
      <x:c r="N38" s="68"/>
      <x:c r="O38" s="68"/>
      <x:c r="P38" s="68"/>
      <x:c r="Q38" s="68"/>
      <x:c r="R38" s="68"/>
    </x:row>
    <x:row r="39" ht="15" hidden="0" customHeight="1">
      <x:c r="A39" s="68"/>
      <x:c r="B39" s="68"/>
      <x:c r="C39" s="68"/>
      <x:c r="D39" s="68"/>
      <x:c r="E39" s="68"/>
      <x:c r="F39" s="68"/>
      <x:c r="G39" s="68"/>
      <x:c r="H39" s="68"/>
      <x:c r="I39" s="68"/>
      <x:c r="J39" s="68"/>
      <x:c r="K39" s="68"/>
      <x:c r="L39" s="68"/>
      <x:c r="M39" s="68"/>
      <x:c r="N39" s="68"/>
      <x:c r="O39" s="68"/>
      <x:c r="P39" s="68"/>
      <x:c r="Q39" s="68"/>
      <x:c r="R39" s="68"/>
    </x:row>
    <x:row r="40" ht="15" hidden="0" customHeight="1">
      <x:c r="A40" s="68"/>
      <x:c r="B40" s="68"/>
      <x:c r="C40" s="68"/>
      <x:c r="D40" s="68"/>
      <x:c r="E40" s="68"/>
      <x:c r="F40" s="68"/>
      <x:c r="G40" s="68"/>
      <x:c r="H40" s="68"/>
      <x:c r="I40" s="68"/>
      <x:c r="J40" s="68"/>
      <x:c r="K40" s="68"/>
      <x:c r="L40" s="68"/>
      <x:c r="M40" s="68"/>
      <x:c r="N40" s="68"/>
      <x:c r="O40" s="68"/>
      <x:c r="P40" s="68"/>
      <x:c r="Q40" s="68"/>
      <x:c r="R40" s="68"/>
    </x:row>
    <x:row r="41" ht="15" hidden="0" customHeight="1">
      <x:c r="A41" s="68"/>
      <x:c r="B41" s="68"/>
      <x:c r="C41" s="68"/>
      <x:c r="D41" s="68"/>
      <x:c r="E41" s="68"/>
      <x:c r="F41" s="68"/>
      <x:c r="G41" s="68"/>
      <x:c r="H41" s="68"/>
      <x:c r="I41" s="68"/>
      <x:c r="J41" s="68"/>
      <x:c r="K41" s="68"/>
      <x:c r="L41" s="68"/>
      <x:c r="M41" s="68"/>
      <x:c r="N41" s="68"/>
      <x:c r="O41" s="68"/>
      <x:c r="P41" s="68"/>
      <x:c r="Q41" s="68"/>
      <x:c r="R41" s="68"/>
    </x:row>
    <x:row r="42" ht="15" hidden="0" customHeight="1">
      <x:c r="A42" s="68"/>
      <x:c r="B42" s="68"/>
      <x:c r="C42" s="68"/>
      <x:c r="D42" s="68"/>
      <x:c r="E42" s="68"/>
      <x:c r="F42" s="68"/>
      <x:c r="G42" s="68"/>
      <x:c r="H42" s="68"/>
      <x:c r="I42" s="68"/>
      <x:c r="J42" s="68"/>
      <x:c r="K42" s="68"/>
      <x:c r="L42" s="68"/>
      <x:c r="M42" s="68"/>
      <x:c r="N42" s="68"/>
      <x:c r="O42" s="68"/>
      <x:c r="P42" s="68"/>
      <x:c r="Q42" s="68"/>
      <x:c r="R42" s="68"/>
    </x:row>
    <x:row r="43" ht="15" hidden="0" customHeight="1">
      <x:c r="A43" s="68"/>
      <x:c r="B43" s="68"/>
      <x:c r="C43" s="68"/>
      <x:c r="D43" s="68"/>
      <x:c r="E43" s="68"/>
      <x:c r="F43" s="68"/>
      <x:c r="G43" s="68"/>
      <x:c r="H43" s="68"/>
      <x:c r="I43" s="68"/>
      <x:c r="J43" s="68"/>
      <x:c r="K43" s="68"/>
      <x:c r="L43" s="68"/>
      <x:c r="M43" s="68"/>
      <x:c r="N43" s="68"/>
      <x:c r="O43" s="68"/>
      <x:c r="P43" s="68"/>
      <x:c r="Q43" s="68"/>
      <x:c r="R43" s="68"/>
    </x:row>
    <x:row r="44" ht="15" hidden="0" customHeight="1">
      <x:c r="A44" s="68"/>
      <x:c r="B44" s="68"/>
      <x:c r="C44" s="68"/>
      <x:c r="D44" s="68"/>
      <x:c r="E44" s="68"/>
      <x:c r="F44" s="68"/>
      <x:c r="G44" s="68"/>
      <x:c r="H44" s="68"/>
      <x:c r="I44" s="68"/>
      <x:c r="J44" s="68"/>
      <x:c r="K44" s="68"/>
      <x:c r="L44" s="68"/>
      <x:c r="M44" s="68"/>
      <x:c r="N44" s="68"/>
      <x:c r="O44" s="68"/>
      <x:c r="P44" s="68"/>
      <x:c r="Q44" s="68"/>
      <x:c r="R44" s="68"/>
    </x:row>
    <x:row r="45" ht="15" hidden="0" customHeight="1">
      <x:c r="A45" s="68"/>
      <x:c r="B45" s="68"/>
      <x:c r="C45" s="68"/>
      <x:c r="D45" s="68"/>
      <x:c r="E45" s="68"/>
      <x:c r="F45" s="68"/>
      <x:c r="G45" s="68"/>
      <x:c r="H45" s="68"/>
      <x:c r="I45" s="68"/>
      <x:c r="J45" s="68"/>
      <x:c r="K45" s="68"/>
      <x:c r="L45" s="68"/>
      <x:c r="M45" s="68"/>
      <x:c r="N45" s="68"/>
      <x:c r="O45" s="68"/>
      <x:c r="P45" s="68"/>
      <x:c r="Q45" s="68"/>
      <x:c r="R45" s="68"/>
    </x:row>
    <x:row r="46" ht="15" hidden="0" customHeight="1">
      <x:c r="A46" s="68"/>
      <x:c r="B46" s="68"/>
      <x:c r="C46" s="68"/>
      <x:c r="D46" s="68"/>
      <x:c r="E46" s="68"/>
      <x:c r="F46" s="68"/>
      <x:c r="G46" s="68"/>
      <x:c r="H46" s="68"/>
      <x:c r="I46" s="68"/>
      <x:c r="J46" s="68"/>
      <x:c r="K46" s="68"/>
      <x:c r="L46" s="68"/>
      <x:c r="M46" s="68"/>
      <x:c r="N46" s="68"/>
      <x:c r="O46" s="68"/>
      <x:c r="P46" s="68"/>
      <x:c r="Q46" s="68"/>
      <x:c r="R46" s="68"/>
    </x:row>
    <x:row r="47" ht="15" hidden="0" customHeight="1">
      <x:c r="A47" s="68"/>
      <x:c r="B47" s="68"/>
      <x:c r="C47" s="68"/>
      <x:c r="D47" s="68"/>
      <x:c r="E47" s="68"/>
      <x:c r="F47" s="68"/>
      <x:c r="G47" s="68"/>
      <x:c r="H47" s="68"/>
      <x:c r="I47" s="68"/>
      <x:c r="J47" s="68"/>
      <x:c r="K47" s="68"/>
      <x:c r="L47" s="68"/>
      <x:c r="M47" s="68"/>
      <x:c r="N47" s="68"/>
      <x:c r="O47" s="68"/>
      <x:c r="P47" s="68"/>
      <x:c r="Q47" s="68"/>
      <x:c r="R47" s="68"/>
    </x:row>
    <x:row r="48" ht="15" hidden="0" customHeight="1">
      <x:c r="A48" s="68"/>
      <x:c r="B48" s="68"/>
      <x:c r="C48" s="68"/>
      <x:c r="D48" s="68"/>
      <x:c r="E48" s="68"/>
      <x:c r="F48" s="68"/>
      <x:c r="G48" s="68"/>
      <x:c r="H48" s="68"/>
      <x:c r="I48" s="68"/>
      <x:c r="J48" s="68"/>
      <x:c r="K48" s="68"/>
      <x:c r="L48" s="68"/>
      <x:c r="M48" s="68"/>
      <x:c r="N48" s="68"/>
      <x:c r="O48" s="68"/>
      <x:c r="P48" s="68"/>
      <x:c r="Q48" s="68"/>
      <x:c r="R48" s="68"/>
    </x:row>
    <x:row r="49" ht="15" hidden="0" customHeight="1">
      <x:c r="A49" s="68"/>
      <x:c r="B49" s="68"/>
      <x:c r="C49" s="68"/>
      <x:c r="D49" s="68"/>
      <x:c r="E49" s="68"/>
      <x:c r="F49" s="68"/>
      <x:c r="G49" s="68"/>
      <x:c r="H49" s="68"/>
      <x:c r="I49" s="68"/>
      <x:c r="J49" s="68"/>
      <x:c r="K49" s="68"/>
      <x:c r="L49" s="68"/>
      <x:c r="M49" s="68"/>
      <x:c r="N49" s="68"/>
      <x:c r="O49" s="68"/>
      <x:c r="P49" s="68"/>
      <x:c r="Q49" s="68"/>
      <x:c r="R49" s="68"/>
    </x:row>
    <x:row r="50" ht="15" hidden="0" customHeight="1">
      <x:c r="A50" s="68"/>
      <x:c r="B50" s="68"/>
      <x:c r="C50" s="68"/>
      <x:c r="D50" s="68"/>
      <x:c r="E50" s="68"/>
      <x:c r="F50" s="68"/>
      <x:c r="G50" s="68"/>
      <x:c r="H50" s="68"/>
      <x:c r="I50" s="68"/>
      <x:c r="J50" s="68"/>
      <x:c r="K50" s="68"/>
      <x:c r="L50" s="68"/>
      <x:c r="M50" s="68"/>
      <x:c r="N50" s="68"/>
      <x:c r="O50" s="68"/>
      <x:c r="P50" s="68"/>
      <x:c r="Q50" s="68"/>
      <x:c r="R50" s="68"/>
    </x:row>
    <x:row r="51" ht="15" hidden="0" customHeight="1">
      <x:c r="A51" s="68"/>
      <x:c r="B51" s="68"/>
      <x:c r="C51" s="68"/>
      <x:c r="D51" s="68"/>
      <x:c r="E51" s="68"/>
      <x:c r="F51" s="68"/>
      <x:c r="G51" s="68"/>
      <x:c r="H51" s="68"/>
      <x:c r="I51" s="68"/>
      <x:c r="J51" s="68"/>
      <x:c r="K51" s="68"/>
      <x:c r="L51" s="68"/>
      <x:c r="M51" s="68"/>
      <x:c r="N51" s="68"/>
      <x:c r="O51" s="68"/>
      <x:c r="P51" s="68"/>
      <x:c r="Q51" s="68"/>
      <x:c r="R51" s="68"/>
    </x:row>
    <x:row r="52" ht="15" hidden="0" customHeight="1">
      <x:c r="A52" s="68"/>
      <x:c r="B52" s="68"/>
      <x:c r="C52" s="68"/>
      <x:c r="D52" s="68"/>
      <x:c r="E52" s="68"/>
      <x:c r="F52" s="68"/>
      <x:c r="G52" s="68"/>
      <x:c r="H52" s="68"/>
      <x:c r="I52" s="68"/>
      <x:c r="J52" s="68"/>
      <x:c r="K52" s="68"/>
      <x:c r="L52" s="68"/>
      <x:c r="M52" s="68"/>
      <x:c r="N52" s="68"/>
      <x:c r="O52" s="68"/>
      <x:c r="P52" s="68"/>
      <x:c r="Q52" s="68"/>
      <x:c r="R52" s="68"/>
    </x:row>
    <x:row r="53" ht="15" hidden="0" customHeight="1">
      <x:c r="A53" s="68"/>
      <x:c r="B53" s="68"/>
      <x:c r="C53" s="68"/>
      <x:c r="D53" s="68"/>
      <x:c r="E53" s="68"/>
      <x:c r="F53" s="68"/>
      <x:c r="G53" s="68"/>
      <x:c r="H53" s="68"/>
      <x:c r="I53" s="68"/>
      <x:c r="J53" s="68"/>
      <x:c r="K53" s="68"/>
      <x:c r="L53" s="68"/>
      <x:c r="M53" s="68"/>
      <x:c r="N53" s="68"/>
      <x:c r="O53" s="68"/>
      <x:c r="P53" s="68"/>
      <x:c r="Q53" s="68"/>
      <x:c r="R53" s="68"/>
    </x:row>
    <x:row r="54" ht="15" hidden="0" customHeight="1">
      <x:c r="A54" s="68"/>
      <x:c r="B54" s="68"/>
      <x:c r="C54" s="68"/>
      <x:c r="D54" s="68"/>
      <x:c r="E54" s="68"/>
      <x:c r="F54" s="68"/>
      <x:c r="G54" s="68"/>
      <x:c r="H54" s="68"/>
      <x:c r="I54" s="68"/>
      <x:c r="J54" s="68"/>
      <x:c r="K54" s="68"/>
      <x:c r="L54" s="68"/>
      <x:c r="M54" s="68"/>
      <x:c r="N54" s="68"/>
      <x:c r="O54" s="68"/>
      <x:c r="P54" s="68"/>
      <x:c r="Q54" s="68"/>
      <x:c r="R54" s="68"/>
    </x:row>
    <x:row r="55" ht="15" hidden="0" customHeight="1">
      <x:c r="A55" s="68"/>
      <x:c r="B55" s="68"/>
      <x:c r="C55" s="68"/>
      <x:c r="D55" s="68"/>
      <x:c r="E55" s="68"/>
      <x:c r="F55" s="68"/>
      <x:c r="G55" s="68"/>
      <x:c r="H55" s="68"/>
      <x:c r="I55" s="68"/>
      <x:c r="J55" s="68"/>
      <x:c r="K55" s="68"/>
      <x:c r="L55" s="68"/>
      <x:c r="M55" s="68"/>
      <x:c r="N55" s="68"/>
      <x:c r="O55" s="68"/>
      <x:c r="P55" s="68"/>
      <x:c r="Q55" s="68"/>
      <x:c r="R55" s="68"/>
    </x:row>
    <x:row r="56" ht="15" hidden="0" customHeight="1">
      <x:c r="A56" s="68"/>
      <x:c r="B56" s="68"/>
      <x:c r="C56" s="68"/>
      <x:c r="D56" s="68"/>
      <x:c r="E56" s="68"/>
      <x:c r="F56" s="68"/>
      <x:c r="G56" s="68"/>
      <x:c r="H56" s="68"/>
      <x:c r="I56" s="68"/>
      <x:c r="J56" s="68"/>
      <x:c r="K56" s="68"/>
      <x:c r="L56" s="68"/>
      <x:c r="M56" s="68"/>
      <x:c r="N56" s="68"/>
      <x:c r="O56" s="68"/>
      <x:c r="P56" s="68"/>
      <x:c r="Q56" s="68"/>
      <x:c r="R56" s="68"/>
    </x:row>
    <x:row r="57" ht="15" hidden="0" customHeight="1">
      <x:c r="A57" s="68"/>
      <x:c r="B57" s="68"/>
      <x:c r="C57" s="68"/>
      <x:c r="D57" s="68"/>
      <x:c r="E57" s="68"/>
      <x:c r="F57" s="68"/>
      <x:c r="G57" s="68"/>
      <x:c r="H57" s="68"/>
      <x:c r="I57" s="68"/>
      <x:c r="J57" s="68"/>
      <x:c r="K57" s="68"/>
      <x:c r="L57" s="68"/>
      <x:c r="M57" s="68"/>
      <x:c r="N57" s="68"/>
      <x:c r="O57" s="68"/>
      <x:c r="P57" s="68"/>
      <x:c r="Q57" s="68"/>
      <x:c r="R57" s="68"/>
    </x:row>
    <x:row r="58" ht="15" hidden="0" customHeight="1">
      <x:c r="A58" s="68"/>
      <x:c r="B58" s="68"/>
      <x:c r="C58" s="68"/>
      <x:c r="D58" s="68"/>
      <x:c r="E58" s="68"/>
      <x:c r="F58" s="68"/>
      <x:c r="G58" s="68"/>
      <x:c r="H58" s="68"/>
      <x:c r="I58" s="68"/>
      <x:c r="J58" s="68"/>
      <x:c r="K58" s="68"/>
      <x:c r="L58" s="68"/>
      <x:c r="M58" s="68"/>
      <x:c r="N58" s="68"/>
      <x:c r="O58" s="68"/>
      <x:c r="P58" s="68"/>
      <x:c r="Q58" s="68"/>
      <x:c r="R58" s="68"/>
    </x:row>
    <x:row r="59" ht="15" hidden="0" customHeight="1">
      <x:c r="A59" s="68"/>
      <x:c r="B59" s="68"/>
      <x:c r="C59" s="68"/>
      <x:c r="D59" s="68"/>
      <x:c r="E59" s="68"/>
      <x:c r="F59" s="68"/>
      <x:c r="G59" s="68"/>
      <x:c r="H59" s="68"/>
      <x:c r="I59" s="68"/>
      <x:c r="J59" s="68"/>
      <x:c r="K59" s="68"/>
      <x:c r="L59" s="68"/>
      <x:c r="M59" s="68"/>
      <x:c r="N59" s="68"/>
      <x:c r="O59" s="68"/>
      <x:c r="P59" s="68"/>
      <x:c r="Q59" s="68"/>
      <x:c r="R59" s="68"/>
    </x:row>
    <x:row r="60" ht="15" hidden="0" customHeight="1">
      <x:c r="A60" s="68"/>
      <x:c r="B60" s="68"/>
      <x:c r="C60" s="68"/>
      <x:c r="D60" s="68"/>
      <x:c r="E60" s="68"/>
      <x:c r="F60" s="68"/>
      <x:c r="G60" s="68"/>
      <x:c r="H60" s="68"/>
      <x:c r="I60" s="68"/>
      <x:c r="J60" s="68"/>
      <x:c r="K60" s="68"/>
      <x:c r="L60" s="68"/>
      <x:c r="M60" s="68"/>
      <x:c r="N60" s="68"/>
      <x:c r="O60" s="68"/>
      <x:c r="P60" s="68"/>
      <x:c r="Q60" s="68"/>
      <x:c r="R60" s="68"/>
    </x:row>
    <x:row r="61" ht="15" hidden="0" customHeight="1">
      <x:c r="A61" s="68"/>
      <x:c r="B61" s="68"/>
      <x:c r="C61" s="68"/>
      <x:c r="D61" s="68"/>
      <x:c r="E61" s="68"/>
      <x:c r="F61" s="68"/>
      <x:c r="G61" s="68"/>
      <x:c r="H61" s="68"/>
      <x:c r="I61" s="68"/>
      <x:c r="J61" s="68"/>
      <x:c r="K61" s="68"/>
      <x:c r="L61" s="68"/>
      <x:c r="M61" s="68"/>
      <x:c r="N61" s="68"/>
      <x:c r="O61" s="68"/>
      <x:c r="P61" s="68"/>
      <x:c r="Q61" s="68"/>
      <x:c r="R61" s="68"/>
    </x:row>
    <x:row r="62" ht="15" hidden="0" customHeight="1">
      <x:c r="A62" s="68"/>
      <x:c r="B62" s="68"/>
      <x:c r="C62" s="68"/>
      <x:c r="D62" s="68"/>
      <x:c r="E62" s="68"/>
      <x:c r="F62" s="68"/>
      <x:c r="G62" s="68"/>
      <x:c r="H62" s="68"/>
      <x:c r="I62" s="68"/>
      <x:c r="J62" s="68"/>
      <x:c r="K62" s="68"/>
      <x:c r="L62" s="68"/>
      <x:c r="M62" s="68"/>
      <x:c r="N62" s="68"/>
      <x:c r="O62" s="68"/>
      <x:c r="P62" s="68"/>
      <x:c r="Q62" s="68"/>
      <x:c r="R62" s="68"/>
    </x:row>
    <x:row r="63" ht="15" hidden="0" customHeight="1">
      <x:c r="A63" s="68"/>
      <x:c r="B63" s="68"/>
      <x:c r="C63" s="68"/>
      <x:c r="D63" s="68"/>
      <x:c r="E63" s="68"/>
      <x:c r="F63" s="68"/>
      <x:c r="G63" s="68"/>
      <x:c r="H63" s="68"/>
      <x:c r="I63" s="68"/>
      <x:c r="J63" s="68"/>
      <x:c r="K63" s="68"/>
      <x:c r="L63" s="68"/>
      <x:c r="M63" s="68"/>
      <x:c r="N63" s="68"/>
      <x:c r="O63" s="68"/>
      <x:c r="P63" s="68"/>
      <x:c r="Q63" s="68"/>
      <x:c r="R63" s="68"/>
    </x:row>
    <x:row r="64" ht="15" hidden="0" customHeight="1">
      <x:c r="A64" s="68"/>
      <x:c r="B64" s="68"/>
      <x:c r="C64" s="68"/>
      <x:c r="D64" s="68"/>
      <x:c r="E64" s="68"/>
      <x:c r="F64" s="68"/>
      <x:c r="G64" s="68"/>
      <x:c r="H64" s="68"/>
      <x:c r="I64" s="68"/>
      <x:c r="J64" s="68"/>
      <x:c r="K64" s="68"/>
      <x:c r="L64" s="68"/>
      <x:c r="M64" s="68"/>
      <x:c r="N64" s="68"/>
      <x:c r="O64" s="68"/>
      <x:c r="P64" s="68"/>
      <x:c r="Q64" s="68"/>
      <x:c r="R64" s="68"/>
    </x:row>
    <x:row r="65" ht="15" hidden="0" customHeight="1">
      <x:c r="A65" s="68"/>
      <x:c r="B65" s="68"/>
      <x:c r="C65" s="68"/>
      <x:c r="D65" s="68"/>
      <x:c r="E65" s="68"/>
      <x:c r="F65" s="68"/>
      <x:c r="G65" s="68"/>
      <x:c r="H65" s="68"/>
      <x:c r="I65" s="68"/>
      <x:c r="J65" s="68"/>
      <x:c r="K65" s="68"/>
      <x:c r="L65" s="68"/>
      <x:c r="M65" s="68"/>
      <x:c r="N65" s="68"/>
      <x:c r="O65" s="68"/>
      <x:c r="P65" s="68"/>
      <x:c r="Q65" s="68"/>
      <x:c r="R65" s="68"/>
    </x:row>
    <x:row r="66" ht="15" hidden="0" customHeight="1">
      <x:c r="A66" s="68"/>
      <x:c r="B66" s="68"/>
      <x:c r="C66" s="68"/>
      <x:c r="D66" s="68"/>
      <x:c r="E66" s="68"/>
      <x:c r="F66" s="68"/>
      <x:c r="G66" s="68"/>
      <x:c r="H66" s="68"/>
      <x:c r="I66" s="68"/>
      <x:c r="J66" s="68"/>
      <x:c r="K66" s="68"/>
      <x:c r="L66" s="68"/>
      <x:c r="M66" s="68"/>
      <x:c r="N66" s="68"/>
      <x:c r="O66" s="68"/>
      <x:c r="P66" s="68"/>
      <x:c r="Q66" s="68"/>
      <x:c r="R66" s="68"/>
    </x:row>
    <x:row r="67" ht="15" hidden="0" customHeight="1">
      <x:c r="A67" s="68"/>
      <x:c r="B67" s="68"/>
      <x:c r="C67" s="68"/>
      <x:c r="D67" s="68"/>
      <x:c r="E67" s="68"/>
      <x:c r="F67" s="68"/>
      <x:c r="G67" s="68"/>
      <x:c r="H67" s="68"/>
      <x:c r="I67" s="68"/>
      <x:c r="J67" s="68"/>
      <x:c r="K67" s="68"/>
      <x:c r="L67" s="68"/>
      <x:c r="M67" s="68"/>
      <x:c r="N67" s="68"/>
      <x:c r="O67" s="68"/>
      <x:c r="P67" s="68"/>
      <x:c r="Q67" s="68"/>
      <x:c r="R67" s="68"/>
    </x:row>
    <x:row r="68" ht="15" hidden="0" customHeight="1">
      <x:c r="A68" s="68"/>
      <x:c r="B68" s="68"/>
      <x:c r="C68" s="68"/>
      <x:c r="D68" s="68"/>
      <x:c r="E68" s="68"/>
      <x:c r="F68" s="68"/>
      <x:c r="G68" s="68"/>
      <x:c r="H68" s="68"/>
      <x:c r="I68" s="68"/>
      <x:c r="J68" s="68"/>
      <x:c r="K68" s="68"/>
      <x:c r="L68" s="68"/>
      <x:c r="M68" s="68"/>
      <x:c r="N68" s="68"/>
      <x:c r="O68" s="68"/>
      <x:c r="P68" s="68"/>
      <x:c r="Q68" s="68"/>
      <x:c r="R68" s="68"/>
    </x:row>
    <x:row r="69" ht="15" hidden="0" customHeight="1">
      <x:c r="A69" s="68"/>
      <x:c r="B69" s="68"/>
      <x:c r="C69" s="68"/>
      <x:c r="D69" s="68"/>
      <x:c r="E69" s="68"/>
      <x:c r="F69" s="68"/>
      <x:c r="G69" s="68"/>
      <x:c r="H69" s="68"/>
      <x:c r="I69" s="68"/>
      <x:c r="J69" s="68"/>
      <x:c r="K69" s="68"/>
      <x:c r="L69" s="68"/>
      <x:c r="M69" s="68"/>
      <x:c r="N69" s="68"/>
      <x:c r="O69" s="68"/>
      <x:c r="P69" s="68"/>
      <x:c r="Q69" s="68"/>
      <x:c r="R69" s="68"/>
    </x:row>
    <x:row r="70" ht="15" hidden="0" customHeight="1">
      <x:c r="A70" s="68"/>
      <x:c r="B70" s="68"/>
      <x:c r="C70" s="68"/>
      <x:c r="D70" s="68"/>
      <x:c r="E70" s="68"/>
      <x:c r="F70" s="68"/>
      <x:c r="G70" s="68"/>
      <x:c r="H70" s="68"/>
      <x:c r="I70" s="68"/>
      <x:c r="J70" s="68"/>
      <x:c r="K70" s="68"/>
      <x:c r="L70" s="68"/>
      <x:c r="M70" s="68"/>
      <x:c r="N70" s="68"/>
      <x:c r="O70" s="68"/>
      <x:c r="P70" s="68"/>
      <x:c r="Q70" s="68"/>
      <x:c r="R70" s="68"/>
    </x:row>
    <x:row r="71" ht="15" hidden="0" customHeight="1">
      <x:c r="A71" s="68"/>
      <x:c r="B71" s="68"/>
      <x:c r="C71" s="68"/>
      <x:c r="D71" s="68"/>
      <x:c r="E71" s="68"/>
      <x:c r="F71" s="68"/>
      <x:c r="G71" s="68"/>
      <x:c r="H71" s="68"/>
      <x:c r="I71" s="68"/>
      <x:c r="J71" s="68"/>
      <x:c r="K71" s="68"/>
      <x:c r="L71" s="68"/>
      <x:c r="M71" s="68"/>
      <x:c r="N71" s="68"/>
      <x:c r="O71" s="68"/>
      <x:c r="P71" s="68"/>
      <x:c r="Q71" s="68"/>
      <x:c r="R71" s="68"/>
    </x:row>
    <x:row r="72" ht="15" hidden="0" customHeight="1">
      <x:c r="A72" s="68"/>
      <x:c r="B72" s="68"/>
      <x:c r="C72" s="68"/>
      <x:c r="D72" s="68"/>
      <x:c r="E72" s="68"/>
      <x:c r="F72" s="68"/>
      <x:c r="G72" s="68"/>
      <x:c r="H72" s="68"/>
      <x:c r="I72" s="68"/>
      <x:c r="J72" s="68"/>
      <x:c r="K72" s="68"/>
      <x:c r="L72" s="68"/>
      <x:c r="M72" s="68"/>
      <x:c r="N72" s="68"/>
      <x:c r="O72" s="68"/>
      <x:c r="P72" s="68"/>
      <x:c r="Q72" s="68"/>
      <x:c r="R72" s="68"/>
    </x:row>
    <x:row r="73" ht="15" hidden="0" customHeight="1">
      <x:c r="A73" s="68"/>
      <x:c r="B73" s="68"/>
      <x:c r="C73" s="68"/>
      <x:c r="D73" s="68"/>
      <x:c r="E73" s="68"/>
      <x:c r="F73" s="68"/>
      <x:c r="G73" s="68"/>
      <x:c r="H73" s="68"/>
      <x:c r="I73" s="68"/>
      <x:c r="J73" s="68"/>
      <x:c r="K73" s="68"/>
      <x:c r="L73" s="68"/>
      <x:c r="M73" s="68"/>
      <x:c r="N73" s="68"/>
      <x:c r="O73" s="68"/>
      <x:c r="P73" s="68"/>
      <x:c r="Q73" s="68"/>
      <x:c r="R73" s="68"/>
    </x:row>
    <x:row r="74" ht="15" hidden="0" customHeight="1">
      <x:c r="A74" s="68"/>
      <x:c r="B74" s="68"/>
      <x:c r="C74" s="68"/>
      <x:c r="D74" s="68"/>
      <x:c r="E74" s="68"/>
      <x:c r="F74" s="68"/>
      <x:c r="G74" s="68"/>
      <x:c r="H74" s="68"/>
      <x:c r="I74" s="68"/>
      <x:c r="J74" s="68"/>
      <x:c r="K74" s="68"/>
      <x:c r="L74" s="68"/>
      <x:c r="M74" s="68"/>
      <x:c r="N74" s="68"/>
      <x:c r="O74" s="68"/>
      <x:c r="P74" s="68"/>
      <x:c r="Q74" s="68"/>
      <x:c r="R74" s="68"/>
    </x:row>
    <x:row r="75" ht="15" hidden="0" customHeight="1">
      <x:c r="A75" s="68"/>
      <x:c r="B75" s="68"/>
      <x:c r="C75" s="68"/>
      <x:c r="D75" s="68"/>
      <x:c r="E75" s="68"/>
      <x:c r="F75" s="68"/>
      <x:c r="G75" s="68"/>
      <x:c r="H75" s="68"/>
      <x:c r="I75" s="68"/>
      <x:c r="J75" s="68"/>
      <x:c r="K75" s="68"/>
      <x:c r="L75" s="68"/>
      <x:c r="M75" s="68"/>
      <x:c r="N75" s="68"/>
      <x:c r="O75" s="68"/>
      <x:c r="P75" s="68"/>
      <x:c r="Q75" s="68"/>
      <x:c r="R75" s="68"/>
    </x:row>
    <x:row r="76" ht="15" hidden="0" customHeight="1">
      <x:c r="A76" s="68"/>
      <x:c r="B76" s="68"/>
      <x:c r="C76" s="68"/>
      <x:c r="D76" s="68"/>
      <x:c r="E76" s="68"/>
      <x:c r="F76" s="68"/>
      <x:c r="G76" s="68"/>
      <x:c r="H76" s="68"/>
      <x:c r="I76" s="68"/>
      <x:c r="J76" s="68"/>
      <x:c r="K76" s="68"/>
      <x:c r="L76" s="68"/>
      <x:c r="M76" s="68"/>
      <x:c r="N76" s="68"/>
      <x:c r="O76" s="68"/>
      <x:c r="P76" s="68"/>
      <x:c r="Q76" s="68"/>
      <x:c r="R76" s="68"/>
    </x:row>
    <x:row r="77" ht="15" hidden="0" customHeight="1">
      <x:c r="A77" s="68"/>
      <x:c r="B77" s="68"/>
      <x:c r="C77" s="68"/>
      <x:c r="D77" s="68"/>
      <x:c r="E77" s="68"/>
      <x:c r="F77" s="68"/>
      <x:c r="G77" s="68"/>
      <x:c r="H77" s="68"/>
      <x:c r="I77" s="68"/>
      <x:c r="J77" s="68"/>
      <x:c r="K77" s="68"/>
      <x:c r="L77" s="68"/>
      <x:c r="M77" s="68"/>
      <x:c r="N77" s="68"/>
      <x:c r="O77" s="68"/>
      <x:c r="P77" s="68"/>
      <x:c r="Q77" s="68"/>
      <x:c r="R77" s="68"/>
    </x:row>
    <x:row r="78" ht="15" hidden="0" customHeight="1">
      <x:c r="A78" s="68"/>
      <x:c r="B78" s="68"/>
      <x:c r="C78" s="68"/>
      <x:c r="D78" s="68"/>
      <x:c r="E78" s="68"/>
      <x:c r="F78" s="68"/>
      <x:c r="G78" s="68"/>
      <x:c r="H78" s="68"/>
      <x:c r="I78" s="68"/>
      <x:c r="J78" s="68"/>
      <x:c r="K78" s="68"/>
      <x:c r="L78" s="68"/>
      <x:c r="M78" s="68"/>
      <x:c r="N78" s="68"/>
      <x:c r="O78" s="68"/>
      <x:c r="P78" s="68"/>
      <x:c r="Q78" s="68"/>
      <x:c r="R78" s="68"/>
    </x:row>
    <x:row r="79" ht="15" hidden="0" customHeight="1">
      <x:c r="A79" s="68"/>
      <x:c r="B79" s="68"/>
      <x:c r="C79" s="68"/>
      <x:c r="D79" s="68"/>
      <x:c r="E79" s="68"/>
      <x:c r="F79" s="68"/>
      <x:c r="G79" s="68"/>
      <x:c r="H79" s="68"/>
      <x:c r="I79" s="68"/>
      <x:c r="J79" s="68"/>
      <x:c r="K79" s="68"/>
      <x:c r="L79" s="68"/>
      <x:c r="M79" s="68"/>
      <x:c r="N79" s="68"/>
      <x:c r="O79" s="68"/>
      <x:c r="P79" s="68"/>
      <x:c r="Q79" s="68"/>
      <x:c r="R79" s="68"/>
    </x:row>
    <x:row r="80" ht="15" hidden="0" customHeight="1">
      <x:c r="A80" s="68"/>
      <x:c r="B80" s="68"/>
      <x:c r="C80" s="68"/>
      <x:c r="D80" s="68"/>
      <x:c r="E80" s="68"/>
      <x:c r="F80" s="68"/>
      <x:c r="G80" s="68"/>
      <x:c r="H80" s="68"/>
      <x:c r="I80" s="68"/>
      <x:c r="J80" s="68"/>
      <x:c r="K80" s="68"/>
      <x:c r="L80" s="68"/>
      <x:c r="M80" s="68"/>
      <x:c r="N80" s="68"/>
      <x:c r="O80" s="68"/>
      <x:c r="P80" s="68"/>
      <x:c r="Q80" s="68"/>
      <x:c r="R80" s="68"/>
    </x:row>
    <x:row r="81" ht="15" hidden="0" customHeight="1">
      <x:c r="A81" s="68"/>
      <x:c r="B81" s="68"/>
      <x:c r="C81" s="68"/>
      <x:c r="D81" s="68"/>
      <x:c r="E81" s="68"/>
      <x:c r="F81" s="68"/>
      <x:c r="G81" s="68"/>
      <x:c r="H81" s="68"/>
      <x:c r="I81" s="68"/>
      <x:c r="J81" s="68"/>
      <x:c r="K81" s="68"/>
      <x:c r="L81" s="68"/>
      <x:c r="M81" s="68"/>
      <x:c r="N81" s="68"/>
      <x:c r="O81" s="68"/>
      <x:c r="P81" s="68"/>
      <x:c r="Q81" s="68"/>
      <x:c r="R81" s="68"/>
    </x:row>
    <x:row r="82" ht="15" hidden="0" customHeight="1">
      <x:c r="A82" s="68"/>
      <x:c r="B82" s="68"/>
      <x:c r="C82" s="68"/>
      <x:c r="D82" s="68"/>
      <x:c r="E82" s="68"/>
      <x:c r="F82" s="68"/>
      <x:c r="G82" s="68"/>
      <x:c r="H82" s="68"/>
      <x:c r="I82" s="68"/>
      <x:c r="J82" s="68"/>
      <x:c r="K82" s="68"/>
      <x:c r="L82" s="68"/>
      <x:c r="M82" s="68"/>
      <x:c r="N82" s="68"/>
      <x:c r="O82" s="68"/>
      <x:c r="P82" s="68"/>
      <x:c r="Q82" s="68"/>
      <x:c r="R82" s="68"/>
    </x:row>
    <x:row r="83" ht="15" hidden="0" customHeight="1">
      <x:c r="A83" s="68"/>
      <x:c r="B83" s="68"/>
      <x:c r="C83" s="68"/>
      <x:c r="D83" s="68"/>
      <x:c r="E83" s="68"/>
      <x:c r="F83" s="68"/>
      <x:c r="G83" s="68"/>
      <x:c r="H83" s="68"/>
      <x:c r="I83" s="68"/>
      <x:c r="J83" s="68"/>
      <x:c r="K83" s="68"/>
      <x:c r="L83" s="68"/>
      <x:c r="M83" s="68"/>
      <x:c r="N83" s="68"/>
      <x:c r="O83" s="68"/>
      <x:c r="P83" s="68"/>
      <x:c r="Q83" s="68"/>
      <x:c r="R83" s="68"/>
    </x:row>
    <x:row r="84" ht="15" hidden="0" customHeight="1">
      <x:c r="A84" s="68"/>
      <x:c r="B84" s="68"/>
      <x:c r="C84" s="68"/>
      <x:c r="D84" s="68"/>
      <x:c r="E84" s="68"/>
      <x:c r="F84" s="68"/>
      <x:c r="G84" s="68"/>
      <x:c r="H84" s="68"/>
      <x:c r="I84" s="68"/>
      <x:c r="J84" s="68"/>
      <x:c r="K84" s="68"/>
      <x:c r="L84" s="68"/>
      <x:c r="M84" s="68"/>
      <x:c r="N84" s="68"/>
      <x:c r="O84" s="68"/>
      <x:c r="P84" s="68"/>
      <x:c r="Q84" s="68"/>
      <x:c r="R84" s="68"/>
    </x:row>
    <x:row r="85" ht="15" hidden="0" customHeight="1">
      <x:c r="A85" s="68"/>
      <x:c r="B85" s="68"/>
      <x:c r="C85" s="68"/>
      <x:c r="D85" s="68"/>
      <x:c r="E85" s="68"/>
      <x:c r="F85" s="68"/>
      <x:c r="G85" s="68"/>
      <x:c r="H85" s="68"/>
      <x:c r="I85" s="68"/>
      <x:c r="J85" s="68"/>
      <x:c r="K85" s="68"/>
      <x:c r="L85" s="68"/>
      <x:c r="M85" s="68"/>
      <x:c r="N85" s="68"/>
      <x:c r="O85" s="68"/>
      <x:c r="P85" s="68"/>
      <x:c r="Q85" s="68"/>
      <x:c r="R85" s="68"/>
    </x:row>
    <x:row r="86" ht="15" hidden="0" customHeight="1">
      <x:c r="A86" s="68"/>
      <x:c r="B86" s="68"/>
      <x:c r="C86" s="68"/>
      <x:c r="D86" s="68"/>
      <x:c r="E86" s="68"/>
      <x:c r="F86" s="68"/>
      <x:c r="G86" s="68"/>
      <x:c r="H86" s="68"/>
      <x:c r="I86" s="68"/>
      <x:c r="J86" s="68"/>
      <x:c r="K86" s="68"/>
      <x:c r="L86" s="68"/>
      <x:c r="M86" s="68"/>
      <x:c r="N86" s="68"/>
      <x:c r="O86" s="68"/>
      <x:c r="P86" s="68"/>
      <x:c r="Q86" s="68"/>
      <x:c r="R86" s="68"/>
    </x:row>
    <x:row r="87" ht="15" hidden="0" customHeight="1">
      <x:c r="A87" s="68"/>
      <x:c r="B87" s="68"/>
      <x:c r="C87" s="68"/>
      <x:c r="D87" s="68"/>
      <x:c r="E87" s="68"/>
      <x:c r="F87" s="68"/>
      <x:c r="G87" s="68"/>
      <x:c r="H87" s="68"/>
      <x:c r="I87" s="68"/>
      <x:c r="J87" s="68"/>
      <x:c r="K87" s="68"/>
      <x:c r="L87" s="68"/>
      <x:c r="M87" s="68"/>
      <x:c r="N87" s="68"/>
      <x:c r="O87" s="68"/>
      <x:c r="P87" s="68"/>
      <x:c r="Q87" s="68"/>
      <x:c r="R87" s="68"/>
    </x:row>
    <x:row r="88" ht="15" hidden="0" customHeight="1">
      <x:c r="A88" s="68"/>
      <x:c r="B88" s="68"/>
      <x:c r="C88" s="68"/>
      <x:c r="D88" s="68"/>
      <x:c r="E88" s="68"/>
      <x:c r="F88" s="68"/>
      <x:c r="G88" s="68"/>
      <x:c r="H88" s="68"/>
      <x:c r="I88" s="68"/>
      <x:c r="J88" s="68"/>
      <x:c r="K88" s="68"/>
      <x:c r="L88" s="68"/>
      <x:c r="M88" s="68"/>
      <x:c r="N88" s="68"/>
      <x:c r="O88" s="68"/>
      <x:c r="P88" s="68"/>
      <x:c r="Q88" s="68"/>
      <x:c r="R88" s="68"/>
    </x:row>
    <x:row r="89" ht="15" hidden="0" customHeight="1">
      <x:c r="A89" s="68"/>
      <x:c r="B89" s="68"/>
      <x:c r="C89" s="68"/>
      <x:c r="D89" s="68"/>
      <x:c r="E89" s="68"/>
      <x:c r="F89" s="68"/>
      <x:c r="G89" s="68"/>
      <x:c r="H89" s="68"/>
      <x:c r="I89" s="68"/>
      <x:c r="J89" s="68"/>
      <x:c r="K89" s="68"/>
      <x:c r="L89" s="68"/>
      <x:c r="M89" s="68"/>
      <x:c r="N89" s="68"/>
      <x:c r="O89" s="68"/>
      <x:c r="P89" s="68"/>
      <x:c r="Q89" s="68"/>
      <x:c r="R89" s="68"/>
    </x:row>
    <x:row r="90" ht="15" hidden="0" customHeight="1">
      <x:c r="A90" s="68"/>
      <x:c r="B90" s="68"/>
      <x:c r="C90" s="68"/>
      <x:c r="D90" s="68"/>
      <x:c r="E90" s="68"/>
      <x:c r="F90" s="68"/>
      <x:c r="G90" s="68"/>
      <x:c r="H90" s="68"/>
      <x:c r="I90" s="68"/>
      <x:c r="J90" s="68"/>
      <x:c r="K90" s="68"/>
      <x:c r="L90" s="68"/>
      <x:c r="M90" s="68"/>
      <x:c r="N90" s="68"/>
      <x:c r="O90" s="68"/>
      <x:c r="P90" s="68"/>
      <x:c r="Q90" s="68"/>
      <x:c r="R90" s="68"/>
    </x:row>
    <x:row r="91" ht="15" hidden="0" customHeight="1">
      <x:c r="A91" s="68"/>
      <x:c r="B91" s="68"/>
      <x:c r="C91" s="68"/>
      <x:c r="D91" s="68"/>
      <x:c r="E91" s="68"/>
      <x:c r="F91" s="68"/>
      <x:c r="G91" s="68"/>
      <x:c r="H91" s="68"/>
      <x:c r="I91" s="68"/>
      <x:c r="J91" s="68"/>
      <x:c r="K91" s="68"/>
      <x:c r="L91" s="68"/>
      <x:c r="M91" s="68"/>
      <x:c r="N91" s="68"/>
      <x:c r="O91" s="68"/>
      <x:c r="P91" s="68"/>
      <x:c r="Q91" s="68"/>
      <x:c r="R91" s="68"/>
    </x:row>
    <x:row r="92" ht="15" hidden="0" customHeight="1">
      <x:c r="A92" s="68"/>
      <x:c r="B92" s="68"/>
      <x:c r="C92" s="68"/>
      <x:c r="D92" s="68"/>
      <x:c r="E92" s="68"/>
      <x:c r="F92" s="68"/>
      <x:c r="G92" s="68"/>
      <x:c r="H92" s="68"/>
      <x:c r="I92" s="68"/>
      <x:c r="J92" s="68"/>
      <x:c r="K92" s="68"/>
      <x:c r="L92" s="68"/>
      <x:c r="M92" s="68"/>
      <x:c r="N92" s="68"/>
      <x:c r="O92" s="68"/>
      <x:c r="P92" s="68"/>
      <x:c r="Q92" s="68"/>
      <x:c r="R92" s="68"/>
    </x:row>
    <x:row r="93" ht="15" hidden="0" customHeight="1">
      <x:c r="A93" s="68"/>
      <x:c r="B93" s="68"/>
      <x:c r="C93" s="68"/>
      <x:c r="D93" s="68"/>
      <x:c r="E93" s="68"/>
      <x:c r="F93" s="68"/>
      <x:c r="G93" s="68"/>
      <x:c r="H93" s="68"/>
      <x:c r="I93" s="68"/>
      <x:c r="J93" s="68"/>
      <x:c r="K93" s="68"/>
      <x:c r="L93" s="68"/>
      <x:c r="M93" s="68"/>
      <x:c r="N93" s="68"/>
      <x:c r="O93" s="68"/>
      <x:c r="P93" s="68"/>
      <x:c r="Q93" s="68"/>
      <x:c r="R93" s="68"/>
    </x:row>
    <x:row r="94" ht="15" hidden="0" customHeight="1">
      <x:c r="A94" s="68"/>
      <x:c r="B94" s="68"/>
      <x:c r="C94" s="68"/>
      <x:c r="D94" s="68"/>
      <x:c r="E94" s="68"/>
      <x:c r="F94" s="68"/>
      <x:c r="G94" s="68"/>
      <x:c r="H94" s="68"/>
      <x:c r="I94" s="68"/>
      <x:c r="J94" s="68"/>
      <x:c r="K94" s="68"/>
      <x:c r="L94" s="68"/>
      <x:c r="M94" s="68"/>
      <x:c r="N94" s="68"/>
      <x:c r="O94" s="68"/>
      <x:c r="P94" s="68"/>
      <x:c r="Q94" s="68"/>
      <x:c r="R94" s="68"/>
    </x:row>
    <x:row r="95" ht="15" hidden="0" customHeight="1">
      <x:c r="A95" s="68"/>
      <x:c r="B95" s="68"/>
      <x:c r="C95" s="68"/>
      <x:c r="D95" s="68"/>
      <x:c r="E95" s="68"/>
      <x:c r="F95" s="68"/>
      <x:c r="G95" s="68"/>
      <x:c r="H95" s="68"/>
      <x:c r="I95" s="68"/>
      <x:c r="J95" s="68"/>
      <x:c r="K95" s="68"/>
      <x:c r="L95" s="68"/>
      <x:c r="M95" s="68"/>
      <x:c r="N95" s="68"/>
      <x:c r="O95" s="68"/>
      <x:c r="P95" s="68"/>
      <x:c r="Q95" s="68"/>
      <x:c r="R95" s="68"/>
    </x:row>
    <x:row r="96" ht="15" hidden="0" customHeight="1">
      <x:c r="A96" s="68"/>
      <x:c r="B96" s="68"/>
      <x:c r="C96" s="68"/>
      <x:c r="D96" s="68"/>
      <x:c r="E96" s="68"/>
      <x:c r="F96" s="68"/>
      <x:c r="G96" s="68"/>
      <x:c r="H96" s="68"/>
      <x:c r="I96" s="68"/>
      <x:c r="J96" s="68"/>
      <x:c r="K96" s="68"/>
      <x:c r="L96" s="68"/>
      <x:c r="M96" s="68"/>
      <x:c r="N96" s="68"/>
      <x:c r="O96" s="68"/>
      <x:c r="P96" s="68"/>
      <x:c r="Q96" s="68"/>
      <x:c r="R96" s="68"/>
    </x:row>
    <x:row r="97" ht="15" hidden="0" customHeight="1">
      <x:c r="A97" s="68"/>
      <x:c r="B97" s="68"/>
      <x:c r="C97" s="68"/>
      <x:c r="D97" s="68"/>
      <x:c r="E97" s="68"/>
      <x:c r="F97" s="68"/>
      <x:c r="G97" s="68"/>
      <x:c r="H97" s="68"/>
      <x:c r="I97" s="68"/>
      <x:c r="J97" s="68"/>
      <x:c r="K97" s="68"/>
      <x:c r="L97" s="68"/>
      <x:c r="M97" s="68"/>
      <x:c r="N97" s="68"/>
      <x:c r="O97" s="68"/>
      <x:c r="P97" s="68"/>
      <x:c r="Q97" s="68"/>
      <x:c r="R97" s="68"/>
    </x:row>
    <x:row r="98" ht="15" hidden="0" customHeight="1">
      <x:c r="A98" s="68"/>
      <x:c r="B98" s="68"/>
      <x:c r="C98" s="68"/>
      <x:c r="D98" s="68"/>
      <x:c r="E98" s="68"/>
      <x:c r="F98" s="68"/>
      <x:c r="G98" s="68"/>
      <x:c r="H98" s="68"/>
      <x:c r="I98" s="68"/>
      <x:c r="J98" s="68"/>
      <x:c r="K98" s="68"/>
      <x:c r="L98" s="68"/>
      <x:c r="M98" s="68"/>
      <x:c r="N98" s="68"/>
      <x:c r="O98" s="68"/>
      <x:c r="P98" s="68"/>
      <x:c r="Q98" s="68"/>
      <x:c r="R98" s="68"/>
    </x:row>
    <x:row r="99" ht="15" hidden="0" customHeight="1">
      <x:c r="A99" s="68"/>
      <x:c r="B99" s="68"/>
      <x:c r="C99" s="68"/>
      <x:c r="D99" s="68"/>
      <x:c r="E99" s="68"/>
      <x:c r="F99" s="68"/>
      <x:c r="G99" s="68"/>
      <x:c r="H99" s="68"/>
      <x:c r="I99" s="68"/>
      <x:c r="J99" s="68"/>
      <x:c r="K99" s="68"/>
      <x:c r="L99" s="68"/>
      <x:c r="M99" s="68"/>
      <x:c r="N99" s="68"/>
      <x:c r="O99" s="68"/>
      <x:c r="P99" s="68"/>
      <x:c r="Q99" s="68"/>
      <x:c r="R99" s="68"/>
    </x:row>
    <x:row r="100" ht="15" hidden="0" customHeight="1">
      <x:c r="A100" s="68"/>
      <x:c r="B100" s="68"/>
      <x:c r="C100" s="68"/>
      <x:c r="D100" s="68"/>
      <x:c r="E100" s="68"/>
      <x:c r="F100" s="68"/>
      <x:c r="G100" s="68"/>
      <x:c r="H100" s="68"/>
      <x:c r="I100" s="68"/>
      <x:c r="J100" s="68"/>
      <x:c r="K100" s="68"/>
      <x:c r="L100" s="68"/>
      <x:c r="M100" s="68"/>
      <x:c r="N100" s="68"/>
      <x:c r="O100" s="68"/>
      <x:c r="P100" s="68"/>
      <x:c r="Q100" s="68"/>
      <x:c r="R100" s="68"/>
    </x:row>
    <x:row r="101" ht="15" hidden="0" customHeight="1">
      <x:c r="A101" s="68"/>
      <x:c r="B101" s="68"/>
      <x:c r="C101" s="68"/>
      <x:c r="D101" s="68"/>
      <x:c r="E101" s="68"/>
      <x:c r="F101" s="68"/>
      <x:c r="G101" s="68"/>
      <x:c r="H101" s="68"/>
      <x:c r="I101" s="68"/>
      <x:c r="J101" s="68"/>
      <x:c r="K101" s="68"/>
      <x:c r="L101" s="68"/>
      <x:c r="M101" s="68"/>
      <x:c r="N101" s="68"/>
      <x:c r="O101" s="68"/>
      <x:c r="P101" s="68"/>
      <x:c r="Q101" s="68"/>
      <x:c r="R101" s="68"/>
    </x:row>
    <x:row r="102" ht="15" hidden="0" customHeight="1">
      <x:c r="A102" s="68"/>
      <x:c r="B102" s="68"/>
      <x:c r="C102" s="68"/>
      <x:c r="D102" s="68"/>
      <x:c r="E102" s="68"/>
      <x:c r="F102" s="68"/>
      <x:c r="G102" s="68"/>
      <x:c r="H102" s="68"/>
      <x:c r="I102" s="68"/>
      <x:c r="J102" s="68"/>
      <x:c r="K102" s="68"/>
      <x:c r="L102" s="68"/>
      <x:c r="M102" s="68"/>
      <x:c r="N102" s="68"/>
      <x:c r="O102" s="68"/>
      <x:c r="P102" s="68"/>
      <x:c r="Q102" s="68"/>
      <x:c r="R102" s="68"/>
    </x:row>
    <x:row r="103" ht="15" hidden="0" customHeight="1">
      <x:c r="A103" s="68"/>
      <x:c r="B103" s="68"/>
      <x:c r="C103" s="68"/>
      <x:c r="D103" s="68"/>
      <x:c r="E103" s="68"/>
      <x:c r="F103" s="68"/>
      <x:c r="G103" s="68"/>
      <x:c r="H103" s="68"/>
      <x:c r="I103" s="68"/>
      <x:c r="J103" s="68"/>
      <x:c r="K103" s="68"/>
      <x:c r="L103" s="68"/>
      <x:c r="M103" s="68"/>
      <x:c r="N103" s="68"/>
      <x:c r="O103" s="68"/>
      <x:c r="P103" s="68"/>
      <x:c r="Q103" s="68"/>
      <x:c r="R103" s="68"/>
    </x:row>
    <x:row r="104" ht="15" hidden="0" customHeight="1">
      <x:c r="A104" s="68"/>
      <x:c r="B104" s="68"/>
      <x:c r="C104" s="68"/>
      <x:c r="D104" s="68"/>
      <x:c r="E104" s="68"/>
      <x:c r="F104" s="68"/>
      <x:c r="G104" s="68"/>
      <x:c r="H104" s="68"/>
      <x:c r="I104" s="68"/>
      <x:c r="J104" s="68"/>
      <x:c r="K104" s="68"/>
      <x:c r="L104" s="68"/>
      <x:c r="M104" s="68"/>
      <x:c r="N104" s="68"/>
      <x:c r="O104" s="68"/>
      <x:c r="P104" s="68"/>
      <x:c r="Q104" s="68"/>
      <x:c r="R104" s="68"/>
    </x:row>
    <x:row r="105" ht="15" hidden="0" customHeight="1">
      <x:c r="A105" s="68"/>
      <x:c r="B105" s="68"/>
      <x:c r="C105" s="68"/>
      <x:c r="D105" s="68"/>
      <x:c r="E105" s="68"/>
      <x:c r="F105" s="68"/>
      <x:c r="G105" s="68"/>
      <x:c r="H105" s="68"/>
      <x:c r="I105" s="68"/>
      <x:c r="J105" s="68"/>
      <x:c r="K105" s="68"/>
      <x:c r="L105" s="68"/>
      <x:c r="M105" s="68"/>
      <x:c r="N105" s="68"/>
      <x:c r="O105" s="68"/>
      <x:c r="P105" s="68"/>
      <x:c r="Q105" s="68"/>
      <x:c r="R105" s="68"/>
    </x:row>
    <x:row r="106" ht="15" hidden="0" customHeight="1">
      <x:c r="A106" s="68"/>
      <x:c r="B106" s="68"/>
      <x:c r="C106" s="68"/>
      <x:c r="D106" s="68"/>
      <x:c r="E106" s="68"/>
      <x:c r="F106" s="68"/>
      <x:c r="G106" s="68"/>
      <x:c r="H106" s="68"/>
      <x:c r="I106" s="68"/>
      <x:c r="J106" s="68"/>
      <x:c r="K106" s="68"/>
      <x:c r="L106" s="68"/>
      <x:c r="M106" s="68"/>
      <x:c r="N106" s="68"/>
      <x:c r="O106" s="68"/>
      <x:c r="P106" s="68"/>
      <x:c r="Q106" s="68"/>
      <x:c r="R106" s="68"/>
    </x:row>
    <x:row r="107" ht="15" hidden="0" customHeight="1">
      <x:c r="A107" s="68"/>
      <x:c r="B107" s="68"/>
      <x:c r="C107" s="68"/>
      <x:c r="D107" s="68"/>
      <x:c r="E107" s="68"/>
      <x:c r="F107" s="68"/>
      <x:c r="G107" s="68"/>
      <x:c r="H107" s="68"/>
      <x:c r="I107" s="68"/>
      <x:c r="J107" s="68"/>
      <x:c r="K107" s="68"/>
      <x:c r="L107" s="68"/>
      <x:c r="M107" s="68"/>
      <x:c r="N107" s="68"/>
      <x:c r="O107" s="68"/>
      <x:c r="P107" s="68"/>
      <x:c r="Q107" s="68"/>
      <x:c r="R107" s="68"/>
    </x:row>
    <x:row r="108" ht="15" hidden="0" customHeight="1">
      <x:c r="A108" s="68"/>
      <x:c r="B108" s="68"/>
      <x:c r="C108" s="68"/>
      <x:c r="D108" s="68"/>
      <x:c r="E108" s="68"/>
      <x:c r="F108" s="68"/>
      <x:c r="G108" s="68"/>
      <x:c r="H108" s="68"/>
      <x:c r="I108" s="68"/>
      <x:c r="J108" s="68"/>
      <x:c r="K108" s="68"/>
      <x:c r="L108" s="68"/>
      <x:c r="M108" s="68"/>
      <x:c r="N108" s="68"/>
      <x:c r="O108" s="68"/>
      <x:c r="P108" s="68"/>
      <x:c r="Q108" s="68"/>
      <x:c r="R108" s="68"/>
    </x:row>
    <x:row r="109" ht="15" hidden="0" customHeight="1">
      <x:c r="A109" s="68"/>
      <x:c r="B109" s="68"/>
      <x:c r="C109" s="68"/>
      <x:c r="D109" s="68"/>
      <x:c r="E109" s="68"/>
      <x:c r="F109" s="68"/>
      <x:c r="G109" s="68"/>
      <x:c r="H109" s="68"/>
      <x:c r="I109" s="68"/>
      <x:c r="J109" s="68"/>
      <x:c r="K109" s="68"/>
      <x:c r="L109" s="68"/>
      <x:c r="M109" s="68"/>
      <x:c r="N109" s="68"/>
      <x:c r="O109" s="68"/>
      <x:c r="P109" s="68"/>
      <x:c r="Q109" s="68"/>
      <x:c r="R109" s="68"/>
    </x:row>
    <x:row r="110" ht="15" hidden="0" customHeight="1">
      <x:c r="A110" s="68"/>
      <x:c r="B110" s="68"/>
      <x:c r="C110" s="68"/>
      <x:c r="D110" s="68"/>
      <x:c r="E110" s="68"/>
      <x:c r="F110" s="68"/>
      <x:c r="G110" s="68"/>
      <x:c r="H110" s="68"/>
      <x:c r="I110" s="68"/>
      <x:c r="J110" s="68"/>
      <x:c r="K110" s="68"/>
      <x:c r="L110" s="68"/>
      <x:c r="M110" s="68"/>
      <x:c r="N110" s="68"/>
      <x:c r="O110" s="68"/>
      <x:c r="P110" s="68"/>
      <x:c r="Q110" s="68"/>
      <x:c r="R110" s="68"/>
    </x:row>
    <x:row r="111" ht="15" hidden="0" customHeight="1">
      <x:c r="A111" s="68"/>
      <x:c r="B111" s="68"/>
      <x:c r="C111" s="68"/>
      <x:c r="D111" s="68"/>
      <x:c r="E111" s="68"/>
      <x:c r="F111" s="68"/>
      <x:c r="G111" s="68"/>
      <x:c r="H111" s="68"/>
      <x:c r="I111" s="68"/>
      <x:c r="J111" s="68"/>
      <x:c r="K111" s="68"/>
      <x:c r="L111" s="68"/>
      <x:c r="M111" s="68"/>
      <x:c r="N111" s="68"/>
      <x:c r="O111" s="68"/>
      <x:c r="P111" s="68"/>
      <x:c r="Q111" s="68"/>
      <x:c r="R111" s="68"/>
    </x:row>
    <x:row r="112" ht="15" hidden="0" customHeight="1">
      <x:c r="A112" s="68"/>
      <x:c r="B112" s="68"/>
      <x:c r="C112" s="68"/>
      <x:c r="D112" s="68"/>
      <x:c r="E112" s="68"/>
      <x:c r="F112" s="68"/>
      <x:c r="G112" s="68"/>
      <x:c r="H112" s="68"/>
      <x:c r="I112" s="68"/>
      <x:c r="J112" s="68"/>
      <x:c r="K112" s="68"/>
      <x:c r="L112" s="68"/>
      <x:c r="M112" s="68"/>
      <x:c r="N112" s="68"/>
      <x:c r="O112" s="68"/>
      <x:c r="P112" s="68"/>
      <x:c r="Q112" s="68"/>
      <x:c r="R112" s="68"/>
    </x:row>
    <x:row r="113" ht="15" hidden="0" customHeight="1">
      <x:c r="A113" s="68"/>
      <x:c r="B113" s="68"/>
      <x:c r="C113" s="68"/>
      <x:c r="D113" s="68"/>
      <x:c r="E113" s="68"/>
      <x:c r="F113" s="68"/>
      <x:c r="G113" s="68"/>
      <x:c r="H113" s="68"/>
      <x:c r="I113" s="68"/>
      <x:c r="J113" s="68"/>
      <x:c r="K113" s="68"/>
      <x:c r="L113" s="68"/>
      <x:c r="M113" s="68"/>
      <x:c r="N113" s="68"/>
      <x:c r="O113" s="68"/>
      <x:c r="P113" s="68"/>
      <x:c r="Q113" s="68"/>
      <x:c r="R113" s="68"/>
    </x:row>
    <x:row r="114" ht="15" hidden="0" customHeight="1">
      <x:c r="A114" s="68"/>
      <x:c r="B114" s="68"/>
      <x:c r="C114" s="68"/>
      <x:c r="D114" s="68"/>
      <x:c r="E114" s="68"/>
      <x:c r="F114" s="68"/>
      <x:c r="G114" s="68"/>
      <x:c r="H114" s="68"/>
      <x:c r="I114" s="68"/>
      <x:c r="J114" s="68"/>
      <x:c r="K114" s="68"/>
      <x:c r="L114" s="68"/>
      <x:c r="M114" s="68"/>
      <x:c r="N114" s="68"/>
      <x:c r="O114" s="68"/>
      <x:c r="P114" s="68"/>
      <x:c r="Q114" s="68"/>
      <x:c r="R114" s="68"/>
    </x:row>
    <x:row r="115" ht="15" hidden="0" customHeight="1">
      <x:c r="A115" s="68"/>
      <x:c r="B115" s="68"/>
      <x:c r="C115" s="68"/>
      <x:c r="D115" s="68"/>
      <x:c r="E115" s="68"/>
      <x:c r="F115" s="68"/>
      <x:c r="G115" s="68"/>
      <x:c r="H115" s="68"/>
      <x:c r="I115" s="68"/>
      <x:c r="J115" s="68"/>
      <x:c r="K115" s="68"/>
      <x:c r="L115" s="68"/>
      <x:c r="M115" s="68"/>
      <x:c r="N115" s="68"/>
      <x:c r="O115" s="68"/>
      <x:c r="P115" s="68"/>
      <x:c r="Q115" s="68"/>
      <x:c r="R115" s="68"/>
    </x:row>
    <x:row r="116" ht="15" hidden="0" customHeight="1">
      <x:c r="A116" s="68"/>
      <x:c r="B116" s="68"/>
      <x:c r="C116" s="68"/>
      <x:c r="D116" s="68"/>
      <x:c r="E116" s="68"/>
      <x:c r="F116" s="68"/>
      <x:c r="G116" s="68"/>
      <x:c r="H116" s="68"/>
      <x:c r="I116" s="68"/>
      <x:c r="J116" s="68"/>
      <x:c r="K116" s="68"/>
      <x:c r="L116" s="68"/>
      <x:c r="M116" s="68"/>
      <x:c r="N116" s="68"/>
      <x:c r="O116" s="68"/>
      <x:c r="P116" s="68"/>
      <x:c r="Q116" s="68"/>
      <x:c r="R116" s="68"/>
    </x:row>
    <x:row r="117" ht="15" hidden="0" customHeight="1">
      <x:c r="A117" s="68"/>
      <x:c r="B117" s="68"/>
      <x:c r="C117" s="68"/>
      <x:c r="D117" s="68"/>
      <x:c r="E117" s="68"/>
      <x:c r="F117" s="68"/>
      <x:c r="G117" s="68"/>
      <x:c r="H117" s="68"/>
      <x:c r="I117" s="68"/>
      <x:c r="J117" s="68"/>
      <x:c r="K117" s="68"/>
      <x:c r="L117" s="68"/>
      <x:c r="M117" s="68"/>
      <x:c r="N117" s="68"/>
      <x:c r="O117" s="68"/>
      <x:c r="P117" s="68"/>
      <x:c r="Q117" s="68"/>
      <x:c r="R117" s="68"/>
    </x:row>
    <x:row r="118" ht="15" hidden="0" customHeight="1">
      <x:c r="A118" s="68"/>
      <x:c r="B118" s="68"/>
      <x:c r="C118" s="68"/>
      <x:c r="D118" s="68"/>
      <x:c r="E118" s="68"/>
      <x:c r="F118" s="68"/>
      <x:c r="G118" s="68"/>
      <x:c r="H118" s="68"/>
      <x:c r="I118" s="68"/>
      <x:c r="J118" s="68"/>
      <x:c r="K118" s="68"/>
      <x:c r="L118" s="68"/>
      <x:c r="M118" s="68"/>
      <x:c r="N118" s="68"/>
      <x:c r="O118" s="68"/>
      <x:c r="P118" s="68"/>
      <x:c r="Q118" s="68"/>
      <x:c r="R118" s="68"/>
    </x:row>
    <x:row r="119" ht="15" hidden="0" customHeight="1">
      <x:c r="A119" s="68"/>
      <x:c r="B119" s="68"/>
      <x:c r="C119" s="68"/>
      <x:c r="D119" s="68"/>
      <x:c r="E119" s="68"/>
      <x:c r="F119" s="68"/>
      <x:c r="G119" s="68"/>
      <x:c r="H119" s="68"/>
      <x:c r="I119" s="68"/>
      <x:c r="J119" s="68"/>
      <x:c r="K119" s="68"/>
      <x:c r="L119" s="68"/>
      <x:c r="M119" s="68"/>
      <x:c r="N119" s="68"/>
      <x:c r="O119" s="68"/>
      <x:c r="P119" s="68"/>
      <x:c r="Q119" s="68"/>
      <x:c r="R119" s="68"/>
    </x:row>
    <x:row r="120" ht="15" hidden="0" customHeight="1">
      <x:c r="A120" s="68"/>
      <x:c r="B120" s="68"/>
      <x:c r="C120" s="68"/>
      <x:c r="D120" s="68"/>
      <x:c r="E120" s="68"/>
      <x:c r="F120" s="68"/>
      <x:c r="G120" s="68"/>
      <x:c r="H120" s="68"/>
      <x:c r="I120" s="68"/>
      <x:c r="J120" s="68"/>
      <x:c r="K120" s="68"/>
      <x:c r="L120" s="68"/>
      <x:c r="M120" s="68"/>
      <x:c r="N120" s="68"/>
      <x:c r="O120" s="68"/>
      <x:c r="P120" s="68"/>
      <x:c r="Q120" s="68"/>
      <x:c r="R120" s="68"/>
    </x:row>
  </x:sheetData>
  <x:mergeCells>
    <x:mergeCell ref="C2:R2"/>
    <x:mergeCell ref="C3:R3"/>
    <x:mergeCell ref="C12:F1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12" hidden="0" customWidth="1"/>
    <x:col min="4" max="4" width="36" hidden="0" customWidth="1"/>
    <x:col min="5" max="5" width="18" hidden="0" customWidth="1"/>
    <x:col min="6" max="6" width="18" hidden="0" customWidth="1"/>
    <x:col min="7" max="7" width="24" hidden="0" customWidth="1"/>
    <x:col min="8" max="8" width="24" hidden="0" customWidth="1"/>
    <x:col min="9" max="9" width="24" hidden="0" customWidth="1"/>
    <x:col min="10" max="10" width="62" hidden="0" customWidth="1"/>
  </x:cols>
  <x:sheetData>
    <x:row r="1" ht="15" hidden="0" customHeight="1">
      <x:c r="A1" s="68"/>
      <x:c r="B1" s="68"/>
      <x:c r="C1" s="68"/>
      <x:c r="D1" s="68"/>
      <x:c r="E1" s="68"/>
      <x:c r="F1" s="68"/>
      <x:c r="G1" s="68"/>
      <x:c r="H1" s="68"/>
      <x:c r="I1" s="68"/>
      <x:c r="J1" s="68"/>
      <x:c r="K1" s="68"/>
      <x:c r="L1" s="68"/>
      <x:c r="M1" s="68"/>
      <x:c r="N1" s="68"/>
      <x:c r="O1" s="68"/>
      <x:c r="P1" s="68"/>
      <x:c r="Q1" s="68"/>
      <x:c r="R1" s="68"/>
    </x:row>
    <x:row r="2" ht="24" hidden="0" customHeight="1">
      <x:c r="A2" s="68"/>
      <x:c r="B2" s="68"/>
      <x:c r="C2" s="69" t="str">
        <x:v>Sources and Model Checks</x:v>
      </x:c>
      <x:c r="D2" s="70"/>
      <x:c r="E2" s="70"/>
      <x:c r="F2" s="70"/>
      <x:c r="G2" s="70"/>
      <x:c r="H2" s="70"/>
      <x:c r="I2" s="70"/>
      <x:c r="J2" s="70"/>
      <x:c r="K2" s="70"/>
      <x:c r="L2" s="70"/>
      <x:c r="M2" s="70"/>
      <x:c r="N2" s="70"/>
      <x:c r="O2" s="70"/>
      <x:c r="P2" s="70"/>
      <x:c r="Q2" s="70"/>
      <x:c r="R2" s="70"/>
    </x:row>
    <x:row r="3" ht="24" hidden="0" customHeight="1">
      <x:c r="A3" s="68"/>
      <x:c r="B3" s="68"/>
      <x:c r="C3" s="71" t="str">
        <x:v>Sources distinguish user inputs, operator data, public evidence, and management assumptions.</x:v>
      </x:c>
      <x:c r="D3" s="68"/>
      <x:c r="E3" s="68"/>
      <x:c r="F3" s="68"/>
      <x:c r="G3" s="68"/>
      <x:c r="H3" s="68"/>
      <x:c r="I3" s="68"/>
      <x:c r="J3" s="68"/>
      <x:c r="K3" s="68"/>
      <x:c r="L3" s="68"/>
      <x:c r="M3" s="68"/>
      <x:c r="N3" s="68"/>
      <x:c r="O3" s="68"/>
      <x:c r="P3" s="68"/>
      <x:c r="Q3" s="68"/>
      <x:c r="R3" s="68"/>
    </x:row>
    <x:row r="4" ht="15" hidden="0" customHeight="1">
      <x:c r="A4" s="68"/>
      <x:c r="B4" s="68"/>
      <x:c r="C4" s="68"/>
      <x:c r="D4" s="68"/>
      <x:c r="E4" s="68"/>
      <x:c r="F4" s="68"/>
      <x:c r="G4" s="68"/>
      <x:c r="H4" s="68"/>
      <x:c r="I4" s="68"/>
      <x:c r="J4" s="68"/>
      <x:c r="K4" s="68"/>
      <x:c r="L4" s="68"/>
      <x:c r="M4" s="68"/>
      <x:c r="N4" s="68"/>
      <x:c r="O4" s="68"/>
      <x:c r="P4" s="68"/>
      <x:c r="Q4" s="68"/>
      <x:c r="R4" s="68"/>
    </x:row>
    <x:row r="5" ht="15" hidden="0" customHeight="1">
      <x:c r="A5" s="68"/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</x:row>
    <x:row r="6" ht="15" hidden="0" customHeight="1">
      <x:c r="A6" s="68"/>
      <x:c r="B6" s="68"/>
      <x:c r="C6" s="19" t="str">
        <x:v>ID</x:v>
      </x:c>
      <x:c r="D6" s="19" t="str">
        <x:v>Item</x:v>
      </x:c>
      <x:c r="E6" s="19" t="str">
        <x:v>Value</x:v>
      </x:c>
      <x:c r="F6" s="19" t="str">
        <x:v>Unit</x:v>
      </x:c>
      <x:c r="G6" s="19" t="str">
        <x:v>Period / as-of</x:v>
      </x:c>
      <x:c r="H6" s="19" t="str">
        <x:v>Source type</x:v>
      </x:c>
      <x:c r="I6" s="19" t="str">
        <x:v>Source</x:v>
      </x:c>
      <x:c r="J6" s="19" t="str">
        <x:v>URL / reference</x:v>
      </x:c>
      <x:c r="K6" s="68"/>
      <x:c r="L6" s="68"/>
      <x:c r="M6" s="68"/>
      <x:c r="N6" s="68"/>
      <x:c r="O6" s="68"/>
      <x:c r="P6" s="68"/>
      <x:c r="Q6" s="68"/>
      <x:c r="R6" s="68"/>
    </x:row>
    <x:row r="7" ht="15" hidden="0" customHeight="1">
      <x:c r="A7" s="68"/>
      <x:c r="B7" s="68"/>
      <x:c r="C7" s="93" t="str">
        <x:v>S1</x:v>
      </x:c>
      <x:c r="D7" s="93" t="str">
        <x:v>Tanjung Lesung current rooms</x:v>
      </x:c>
      <x:c r="E7" s="93" t="n">
        <x:v>300</x:v>
      </x:c>
      <x:c r="F7" s="93" t="str">
        <x:v>rooms</x:v>
      </x:c>
      <x:c r="G7" s="93" t="str">
        <x:v>2026-09-08</x:v>
      </x:c>
      <x:c r="H7" s="93" t="str">
        <x:v>User assumption</x:v>
      </x:c>
      <x:c r="I7" s="93" t="str">
        <x:v>Management input</x:v>
      </x:c>
      <x:c r="J7" s="93" t="str"/>
      <x:c r="K7" s="68"/>
      <x:c r="L7" s="68"/>
      <x:c r="M7" s="68"/>
      <x:c r="N7" s="68"/>
      <x:c r="O7" s="68"/>
      <x:c r="P7" s="68"/>
      <x:c r="Q7" s="68"/>
      <x:c r="R7" s="68"/>
    </x:row>
    <x:row r="8" ht="15" hidden="0" customHeight="1">
      <x:c r="A8" s="68"/>
      <x:c r="B8" s="68"/>
      <x:c r="C8" s="93" t="str">
        <x:v>S2</x:v>
      </x:c>
      <x:c r="D8" s="93" t="str">
        <x:v>Current average occupancy</x:v>
      </x:c>
      <x:c r="E8" s="111" t="n">
        <x:v>0.25</x:v>
      </x:c>
      <x:c r="F8" s="93" t="str">
        <x:v>%</x:v>
      </x:c>
      <x:c r="G8" s="93" t="str">
        <x:v>2026-09-08</x:v>
      </x:c>
      <x:c r="H8" s="93" t="str">
        <x:v>User assumption</x:v>
      </x:c>
      <x:c r="I8" s="93" t="str">
        <x:v>Management input</x:v>
      </x:c>
      <x:c r="J8" s="93" t="str"/>
      <x:c r="K8" s="68"/>
      <x:c r="L8" s="68"/>
      <x:c r="M8" s="68"/>
      <x:c r="N8" s="68"/>
      <x:c r="O8" s="68"/>
      <x:c r="P8" s="68"/>
      <x:c r="Q8" s="68"/>
      <x:c r="R8" s="68"/>
    </x:row>
    <x:row r="9" ht="15" hidden="0" customHeight="1">
      <x:c r="A9" s="68"/>
      <x:c r="B9" s="68"/>
      <x:c r="C9" s="93" t="str">
        <x:v>S3</x:v>
      </x:c>
      <x:c r="D9" s="93" t="str">
        <x:v>Land economic value</x:v>
      </x:c>
      <x:c r="E9" s="111" t="n">
        <x:v>500000</x:v>
      </x:c>
      <x:c r="F9" s="93" t="str">
        <x:v>Rp/m2</x:v>
      </x:c>
      <x:c r="G9" s="93" t="str">
        <x:v>2026-09-08</x:v>
      </x:c>
      <x:c r="H9" s="93" t="str">
        <x:v>User assumption</x:v>
      </x:c>
      <x:c r="I9" s="93" t="str">
        <x:v>Management input</x:v>
      </x:c>
      <x:c r="J9" s="93" t="str"/>
      <x:c r="K9" s="68"/>
      <x:c r="L9" s="68"/>
      <x:c r="M9" s="68"/>
      <x:c r="N9" s="68"/>
      <x:c r="O9" s="68"/>
      <x:c r="P9" s="68"/>
      <x:c r="Q9" s="68"/>
      <x:c r="R9" s="68"/>
    </x:row>
    <x:row r="10" ht="15" hidden="0" customHeight="1">
      <x:c r="A10" s="68"/>
      <x:c r="B10" s="68"/>
      <x:c r="C10" s="93" t="str">
        <x:v>S4</x:v>
      </x:c>
      <x:c r="D10" s="93" t="str">
        <x:v>Room rate incl. breakfast</x:v>
      </x:c>
      <x:c r="E10" s="112" t="n">
        <x:v>1000000</x:v>
      </x:c>
      <x:c r="F10" s="93" t="str">
        <x:v>Rp/room/night</x:v>
      </x:c>
      <x:c r="G10" s="93" t="str">
        <x:v>2026-09-08</x:v>
      </x:c>
      <x:c r="H10" s="93" t="str">
        <x:v>User assumption</x:v>
      </x:c>
      <x:c r="I10" s="93" t="str">
        <x:v>Management input</x:v>
      </x:c>
      <x:c r="J10" s="93" t="str">
        <x:v>https://www.tanjunglesung.com/en/ladda-bay-village-2/</x:v>
      </x:c>
      <x:c r="K10" s="68"/>
      <x:c r="L10" s="68"/>
      <x:c r="M10" s="68"/>
      <x:c r="N10" s="68"/>
      <x:c r="O10" s="68"/>
      <x:c r="P10" s="68"/>
      <x:c r="Q10" s="68"/>
      <x:c r="R10" s="68"/>
    </x:row>
    <x:row r="11" ht="15" hidden="0" customHeight="1">
      <x:c r="A11" s="68"/>
      <x:c r="B11" s="68"/>
      <x:c r="C11" s="93" t="str">
        <x:v>S5</x:v>
      </x:c>
      <x:c r="D11" s="93" t="str">
        <x:v>Pandeglang star-hotel occupancy</x:v>
      </x:c>
      <x:c r="E11" s="111" t="n">
        <x:v>0.2318</x:v>
      </x:c>
      <x:c r="F11" s="93" t="str">
        <x:v>%</x:v>
      </x:c>
      <x:c r="G11" s="93" t="str">
        <x:v>Jun 2026</x:v>
      </x:c>
      <x:c r="H11" s="93" t="str">
        <x:v>Public data</x:v>
      </x:c>
      <x:c r="I11" s="93" t="str">
        <x:v>BPS Kabupaten Pandeglang</x:v>
      </x:c>
      <x:c r="J11" s="93" t="str">
        <x:v>https://pandeglangkab.bps.go.id/</x:v>
      </x:c>
      <x:c r="K11" s="68"/>
      <x:c r="L11" s="68"/>
      <x:c r="M11" s="68"/>
      <x:c r="N11" s="68"/>
      <x:c r="O11" s="68"/>
      <x:c r="P11" s="68"/>
      <x:c r="Q11" s="68"/>
      <x:c r="R11" s="68"/>
    </x:row>
    <x:row r="12" ht="36" hidden="0" customHeight="1">
      <x:c r="A12" s="68"/>
      <x:c r="B12" s="68"/>
      <x:c r="C12" s="93" t="str">
        <x:v>S6</x:v>
      </x:c>
      <x:c r="D12" s="93" t="str">
        <x:v>Pandeglang average length of stay</x:v>
      </x:c>
      <x:c r="E12" s="93" t="n">
        <x:v>1.16</x:v>
      </x:c>
      <x:c r="F12" s="93" t="str">
        <x:v>days</x:v>
      </x:c>
      <x:c r="G12" s="93" t="str">
        <x:v>Jul 2025</x:v>
      </x:c>
      <x:c r="H12" s="93" t="str">
        <x:v>Public data</x:v>
      </x:c>
      <x:c r="I12" s="93" t="str">
        <x:v>BPS Kabupaten Pandeglang</x:v>
      </x:c>
      <x:c r="J12" s="93" t="str">
        <x:v>https://pandeglangkab.bps.go.id/id/pressrelease/2025/09/04/101/the-room-occupancy-rate--ror--of-star-rated-hotels-in-pandeglang-regency-in-july-2025-was-22-72-percent.html</x:v>
      </x:c>
      <x:c r="K12" s="68"/>
      <x:c r="L12" s="68"/>
      <x:c r="M12" s="68"/>
      <x:c r="N12" s="68"/>
      <x:c r="O12" s="68"/>
      <x:c r="P12" s="68"/>
      <x:c r="Q12" s="68"/>
      <x:c r="R12" s="68"/>
    </x:row>
    <x:row r="13" ht="15" hidden="0" customHeight="1">
      <x:c r="A13" s="68"/>
      <x:c r="B13" s="68"/>
      <x:c r="C13" s="93" t="str">
        <x:v>S7</x:v>
      </x:c>
      <x:c r="D13" s="93" t="str">
        <x:v>Tanjung Lesung designated tourism SEZ</x:v>
      </x:c>
      <x:c r="E13" s="93" t="str">
        <x:v>PP 26/2012</x:v>
      </x:c>
      <x:c r="F13" s="93" t="str">
        <x:v>regulation</x:v>
      </x:c>
      <x:c r="G13" s="93" t="str">
        <x:v>2012</x:v>
      </x:c>
      <x:c r="H13" s="93" t="str">
        <x:v>Regulation</x:v>
      </x:c>
      <x:c r="I13" s="93" t="str">
        <x:v>BPK RI</x:v>
      </x:c>
      <x:c r="J13" s="93" t="str">
        <x:v>https://peraturan.bpk.go.id/Details/5238/pp-no-26-tahun-2012</x:v>
      </x:c>
      <x:c r="K13" s="68"/>
      <x:c r="L13" s="68"/>
      <x:c r="M13" s="68"/>
      <x:c r="N13" s="68"/>
      <x:c r="O13" s="68"/>
      <x:c r="P13" s="68"/>
      <x:c r="Q13" s="68"/>
      <x:c r="R13" s="68"/>
    </x:row>
    <x:row r="14" ht="15" hidden="0" customHeight="1">
      <x:c r="A14" s="68"/>
      <x:c r="B14" s="68"/>
      <x:c r="C14" s="93" t="str">
        <x:v>S8</x:v>
      </x:c>
      <x:c r="D14" s="93" t="str">
        <x:v>Tanjung Lesung cumulative investment</x:v>
      </x:c>
      <x:c r="E14" s="113" t="n">
        <x:v>3090000000000</x:v>
      </x:c>
      <x:c r="F14" s="93" t="str">
        <x:v>Rp</x:v>
      </x:c>
      <x:c r="G14" s="93" t="str">
        <x:v>Apr 2026</x:v>
      </x:c>
      <x:c r="H14" s="93" t="str">
        <x:v>Public release</x:v>
      </x:c>
      <x:c r="I14" s="93" t="str">
        <x:v>National SEZ Council</x:v>
      </x:c>
      <x:c r="J14" s="93" t="str">
        <x:v>https://kek.go.id/id/media/press?tag=InvestasiBanten</x:v>
      </x:c>
      <x:c r="K14" s="68"/>
      <x:c r="L14" s="68"/>
      <x:c r="M14" s="68"/>
      <x:c r="N14" s="68"/>
      <x:c r="O14" s="68"/>
      <x:c r="P14" s="68"/>
      <x:c r="Q14" s="68"/>
      <x:c r="R14" s="68"/>
    </x:row>
    <x:row r="15" ht="36" hidden="0" customHeight="1">
      <x:c r="A15" s="68"/>
      <x:c r="B15" s="68"/>
      <x:c r="C15" s="93" t="str">
        <x:v>S9</x:v>
      </x:c>
      <x:c r="D15" s="93" t="str">
        <x:v>Avocado 25-year model</x:v>
      </x:c>
      <x:c r="E15" s="93" t="str">
        <x:v>Rekap_Produksi_Finansial_25th_Skenario_Y.xlsx</x:v>
      </x:c>
      <x:c r="F15" s="93" t="str">
        <x:v>workbook</x:v>
      </x:c>
      <x:c r="G15" s="93" t="str">
        <x:v>23 Jul 2026</x:v>
      </x:c>
      <x:c r="H15" s="93" t="str">
        <x:v>Operator model</x:v>
      </x:c>
      <x:c r="I15" s="93" t="str">
        <x:v>User-provided workbook</x:v>
      </x:c>
      <x:c r="J15" s="93" t="str">
        <x:v>https://alpukat.djoko-saylendro.biz.id/ver2/</x:v>
      </x:c>
      <x:c r="K15" s="68"/>
      <x:c r="L15" s="68"/>
      <x:c r="M15" s="68"/>
      <x:c r="N15" s="68"/>
      <x:c r="O15" s="68"/>
      <x:c r="P15" s="68"/>
      <x:c r="Q15" s="68"/>
      <x:c r="R15" s="68"/>
    </x:row>
    <x:row r="16" ht="15" hidden="0" customHeight="1">
      <x:c r="A16" s="68"/>
      <x:c r="B16" s="68"/>
      <x:c r="C16" s="93" t="str">
        <x:v>S10</x:v>
      </x:c>
      <x:c r="D16" s="93" t="str">
        <x:v>Five non-avocado site economics</x:v>
      </x:c>
      <x:c r="E16" s="93" t="str">
        <x:v>Editable</x:v>
      </x:c>
      <x:c r="F16" s="93" t="str">
        <x:v>assumptions</x:v>
      </x:c>
      <x:c r="G16" s="93" t="str">
        <x:v>2026-09-08</x:v>
      </x:c>
      <x:c r="H16" s="93" t="str">
        <x:v>Management assumption</x:v>
      </x:c>
      <x:c r="I16" s="93" t="str">
        <x:v>Initial screening case</x:v>
      </x:c>
      <x:c r="J16" s="93" t="str">
        <x:v>Obtain operator quotations before IC approval</x:v>
      </x:c>
      <x:c r="K16" s="68"/>
      <x:c r="L16" s="68"/>
      <x:c r="M16" s="68"/>
      <x:c r="N16" s="68"/>
      <x:c r="O16" s="68"/>
      <x:c r="P16" s="68"/>
      <x:c r="Q16" s="68"/>
      <x:c r="R16" s="68"/>
    </x:row>
    <x:row r="17" ht="15" hidden="0" customHeight="1">
      <x:c r="A17" s="68"/>
      <x:c r="B17" s="68"/>
      <x:c r="C17" s="68"/>
      <x:c r="D17" s="68"/>
      <x:c r="E17" s="68"/>
      <x:c r="F17" s="68"/>
      <x:c r="G17" s="68"/>
      <x:c r="H17" s="68"/>
      <x:c r="I17" s="68"/>
      <x:c r="J17" s="68"/>
      <x:c r="K17" s="68"/>
      <x:c r="L17" s="68"/>
      <x:c r="M17" s="68"/>
      <x:c r="N17" s="68"/>
      <x:c r="O17" s="68"/>
      <x:c r="P17" s="68"/>
      <x:c r="Q17" s="68"/>
      <x:c r="R17" s="68"/>
    </x:row>
    <x:row r="18" ht="15" hidden="0" customHeight="1">
      <x:c r="A18" s="68"/>
      <x:c r="B18" s="68"/>
      <x:c r="C18" s="68"/>
      <x:c r="D18" s="68"/>
      <x:c r="E18" s="68"/>
      <x:c r="F18" s="68"/>
      <x:c r="G18" s="68"/>
      <x:c r="H18" s="68"/>
      <x:c r="I18" s="68"/>
      <x:c r="J18" s="68"/>
      <x:c r="K18" s="68"/>
      <x:c r="L18" s="68"/>
      <x:c r="M18" s="68"/>
      <x:c r="N18" s="68"/>
      <x:c r="O18" s="68"/>
      <x:c r="P18" s="68"/>
      <x:c r="Q18" s="68"/>
      <x:c r="R18" s="68"/>
    </x:row>
    <x:row r="19" ht="15" hidden="0" customHeight="1">
      <x:c r="A19" s="68"/>
      <x:c r="B19" s="68"/>
      <x:c r="C19" s="68"/>
      <x:c r="D19" s="68"/>
      <x:c r="E19" s="68"/>
      <x:c r="F19" s="68"/>
      <x:c r="G19" s="68"/>
      <x:c r="H19" s="68"/>
      <x:c r="I19" s="68"/>
      <x:c r="J19" s="68"/>
      <x:c r="K19" s="68"/>
      <x:c r="L19" s="68"/>
      <x:c r="M19" s="68"/>
      <x:c r="N19" s="68"/>
      <x:c r="O19" s="68"/>
      <x:c r="P19" s="68"/>
      <x:c r="Q19" s="68"/>
      <x:c r="R19" s="68"/>
    </x:row>
    <x:row r="20" ht="15" hidden="0" customHeight="1">
      <x:c r="A20" s="68"/>
      <x:c r="B20" s="68"/>
      <x:c r="C20" s="11" t="str">
        <x:v>Checks</x:v>
      </x:c>
      <x:c r="D20" s="12"/>
      <x:c r="E20" s="12"/>
      <x:c r="F20" s="13"/>
      <x:c r="G20" s="68"/>
      <x:c r="H20" s="68"/>
      <x:c r="I20" s="68"/>
      <x:c r="J20" s="68"/>
      <x:c r="K20" s="68"/>
      <x:c r="L20" s="68"/>
      <x:c r="M20" s="68"/>
      <x:c r="N20" s="68"/>
      <x:c r="O20" s="68"/>
      <x:c r="P20" s="68"/>
      <x:c r="Q20" s="68"/>
      <x:c r="R20" s="68"/>
    </x:row>
    <x:row r="21" ht="15" hidden="0" customHeight="1">
      <x:c r="A21" s="68"/>
      <x:c r="B21" s="68"/>
      <x:c r="C21" s="19" t="str">
        <x:v>Check</x:v>
      </x:c>
      <x:c r="D21" s="19" t="str">
        <x:v>Actual</x:v>
      </x:c>
      <x:c r="E21" s="19" t="str">
        <x:v>Expected</x:v>
      </x:c>
      <x:c r="F21" s="19" t="str">
        <x:v>Status</x:v>
      </x:c>
      <x:c r="G21" s="68"/>
      <x:c r="H21" s="68"/>
      <x:c r="I21" s="68"/>
      <x:c r="J21" s="68"/>
      <x:c r="K21" s="68"/>
      <x:c r="L21" s="68"/>
      <x:c r="M21" s="68"/>
      <x:c r="N21" s="68"/>
      <x:c r="O21" s="68"/>
      <x:c r="P21" s="68"/>
      <x:c r="Q21" s="68"/>
      <x:c r="R21" s="68"/>
    </x:row>
    <x:row r="22" ht="15" hidden="0" customHeight="1">
      <x:c r="A22" s="68"/>
      <x:c r="B22" s="68"/>
      <x:c r="C22" s="68" t="str">
        <x:v>Baseline daily occupancy averages to input</x:v>
      </x:c>
      <x:c r="D22" s="88" t="n">
        <x:f>AVERAGE('Occupancy &amp; Rooms'!D21:D27)</x:f>
        <x:v>0.25</x:v>
      </x:c>
      <x:c r="E22" s="88" t="n">
        <x:f>'Assumptions'!$D$23</x:f>
        <x:v>0.25</x:v>
      </x:c>
      <x:c r="F22" s="68" t="str">
        <x:f>IF(ABS(D22-E22)&lt;0.0001,"PASS","FAIL")</x:f>
        <x:v>PASS</x:v>
      </x:c>
      <x:c r="G22" s="68"/>
      <x:c r="H22" s="68"/>
      <x:c r="I22" s="68"/>
      <x:c r="J22" s="68"/>
      <x:c r="K22" s="68"/>
      <x:c r="L22" s="68"/>
      <x:c r="M22" s="68"/>
      <x:c r="N22" s="68"/>
      <x:c r="O22" s="68"/>
      <x:c r="P22" s="68"/>
      <x:c r="Q22" s="68"/>
      <x:c r="R22" s="68"/>
    </x:row>
    <x:row r="23" ht="15" hidden="0" customHeight="1">
      <x:c r="A23" s="68"/>
      <x:c r="B23" s="68"/>
      <x:c r="C23" s="68" t="str">
        <x:v>Six attraction count</x:v>
      </x:c>
      <x:c r="D23" s="68" t="n">
        <x:f>'Assumptions'!$D$29</x:f>
        <x:v>6</x:v>
      </x:c>
      <x:c r="E23" s="68" t="n">
        <x:v>6</x:v>
      </x:c>
      <x:c r="F23" s="68" t="str">
        <x:f>IF(ABS(D23-E23)&lt;0.0001,"PASS","FAIL")</x:f>
        <x:v>PASS</x:v>
      </x:c>
      <x:c r="G23" s="68"/>
      <x:c r="H23" s="68"/>
      <x:c r="I23" s="68"/>
      <x:c r="J23" s="68"/>
      <x:c r="K23" s="68"/>
      <x:c r="L23" s="68"/>
      <x:c r="M23" s="68"/>
      <x:c r="N23" s="68"/>
      <x:c r="O23" s="68"/>
      <x:c r="P23" s="68"/>
      <x:c r="Q23" s="68"/>
      <x:c r="R23" s="68"/>
    </x:row>
    <x:row r="24" ht="15" hidden="0" customHeight="1">
      <x:c r="A24" s="68"/>
      <x:c r="B24" s="68"/>
      <x:c r="C24" s="68" t="str">
        <x:v>Package capacity from site throughput</x:v>
      </x:c>
      <x:c r="D24" s="68" t="n">
        <x:f>'Attractions'!$D$20</x:f>
        <x:v>600</x:v>
      </x:c>
      <x:c r="E24" s="68" t="n">
        <x:f>'Assumptions'!$D$26</x:f>
        <x:v>600</x:v>
      </x:c>
      <x:c r="F24" s="68" t="str">
        <x:f>IF(ABS(D24-E24)&lt;0.0001,"PASS","FAIL")</x:f>
        <x:v>PASS</x:v>
      </x:c>
      <x:c r="G24" s="68"/>
      <x:c r="H24" s="68"/>
      <x:c r="I24" s="68"/>
      <x:c r="J24" s="68"/>
      <x:c r="K24" s="68"/>
      <x:c r="L24" s="68"/>
      <x:c r="M24" s="68"/>
      <x:c r="N24" s="68"/>
      <x:c r="O24" s="68"/>
      <x:c r="P24" s="68"/>
      <x:c r="Q24" s="68"/>
      <x:c r="R24" s="68"/>
    </x:row>
    <x:row r="25" ht="15" hidden="0" customHeight="1">
      <x:c r="A25" s="68"/>
      <x:c r="B25" s="68"/>
      <x:c r="C25" s="68" t="str">
        <x:v>Land area total</x:v>
      </x:c>
      <x:c r="D25" s="68" t="n">
        <x:f>'Attractions'!$D$14</x:f>
        <x:v>6.5</x:v>
      </x:c>
      <x:c r="E25" s="68" t="n">
        <x:v>6.5</x:v>
      </x:c>
      <x:c r="F25" s="68" t="str">
        <x:f>IF(ABS(D25-E25)&lt;0.0001,"PASS","FAIL")</x:f>
        <x:v>PASS</x:v>
      </x:c>
      <x:c r="G25" s="68"/>
      <x:c r="H25" s="68"/>
      <x:c r="I25" s="68"/>
      <x:c r="J25" s="68"/>
      <x:c r="K25" s="68"/>
      <x:c r="L25" s="68"/>
      <x:c r="M25" s="68"/>
      <x:c r="N25" s="68"/>
      <x:c r="O25" s="68"/>
      <x:c r="P25" s="68"/>
      <x:c r="Q25" s="68"/>
      <x:c r="R25" s="68"/>
    </x:row>
    <x:row r="26" ht="15" hidden="0" customHeight="1">
      <x:c r="A26" s="68"/>
      <x:c r="B26" s="68"/>
      <x:c r="C26" s="68" t="str">
        <x:v>Fixed OPEX total</x:v>
      </x:c>
      <x:c r="D26" s="114" t="n">
        <x:f>'Attractions'!$J$14</x:f>
        <x:v>4000000000</x:v>
      </x:c>
      <x:c r="E26" s="114" t="n">
        <x:f>'Assumptions'!$D$38</x:f>
        <x:v>4000000000</x:v>
      </x:c>
      <x:c r="F26" s="68" t="str">
        <x:f>IF(ABS(D26-E26)&lt;0.0001,"PASS","FAIL")</x:f>
        <x:v>PASS</x:v>
      </x:c>
      <x:c r="G26" s="68"/>
      <x:c r="H26" s="68"/>
      <x:c r="I26" s="68"/>
      <x:c r="J26" s="68"/>
      <x:c r="K26" s="68"/>
      <x:c r="L26" s="68"/>
      <x:c r="M26" s="68"/>
      <x:c r="N26" s="68"/>
      <x:c r="O26" s="68"/>
      <x:c r="P26" s="68"/>
      <x:c r="Q26" s="68"/>
      <x:c r="R26" s="68"/>
    </x:row>
    <x:row r="27" ht="15" hidden="0" customHeight="1">
      <x:c r="A27" s="68"/>
      <x:c r="B27" s="68"/>
      <x:c r="C27" s="68" t="str">
        <x:v>Debt repaid by Year 10</x:v>
      </x:c>
      <x:c r="D27" s="81" t="n">
        <x:f>'Debt &amp; Returns'!$N$19</x:f>
        <x:v>0</x:v>
      </x:c>
      <x:c r="E27" s="81" t="n">
        <x:v>0</x:v>
      </x:c>
      <x:c r="F27" s="68" t="str">
        <x:f>IF(ABS(D27-E27)&lt;0.0001,"PASS","FAIL")</x:f>
        <x:v>PASS</x:v>
      </x:c>
      <x:c r="G27" s="68"/>
      <x:c r="H27" s="68"/>
      <x:c r="I27" s="68"/>
      <x:c r="J27" s="68"/>
      <x:c r="K27" s="68"/>
      <x:c r="L27" s="68"/>
      <x:c r="M27" s="68"/>
      <x:c r="N27" s="68"/>
      <x:c r="O27" s="68"/>
      <x:c r="P27" s="68"/>
      <x:c r="Q27" s="68"/>
      <x:c r="R27" s="68"/>
    </x:row>
    <x:row r="28" ht="15" hidden="0" customHeight="1">
      <x:c r="A28" s="68"/>
      <x:c r="B28" s="68"/>
      <x:c r="C28" s="68" t="str">
        <x:v>Occupancy does not exceed 100%</x:v>
      </x:c>
      <x:c r="D28" s="88" t="n">
        <x:f>MAX('Occupancy &amp; Rooms'!D12:R12)</x:f>
        <x:v>0.683972602739726</x:v>
      </x:c>
      <x:c r="E28" s="88" t="n">
        <x:v>1</x:v>
      </x:c>
      <x:c r="F28" s="68" t="str">
        <x:f>IF(D28&lt;=E28,"PASS","FAIL")</x:f>
        <x:v>PASS</x:v>
      </x:c>
      <x:c r="G28" s="68"/>
      <x:c r="H28" s="68"/>
      <x:c r="I28" s="68"/>
      <x:c r="J28" s="68"/>
      <x:c r="K28" s="68"/>
      <x:c r="L28" s="68"/>
      <x:c r="M28" s="68"/>
      <x:c r="N28" s="68"/>
      <x:c r="O28" s="68"/>
      <x:c r="P28" s="68"/>
      <x:c r="Q28" s="68"/>
      <x:c r="R28" s="68"/>
    </x:row>
    <x:row r="29" ht="15" hidden="0" customHeight="1">
      <x:c r="A29" s="68"/>
      <x:c r="B29" s="68"/>
      <x:c r="C29" s="68"/>
      <x:c r="D29" s="68"/>
      <x:c r="E29" s="68"/>
      <x:c r="F29" s="68"/>
      <x:c r="G29" s="68"/>
      <x:c r="H29" s="68"/>
      <x:c r="I29" s="68"/>
      <x:c r="J29" s="68"/>
      <x:c r="K29" s="68"/>
      <x:c r="L29" s="68"/>
      <x:c r="M29" s="68"/>
      <x:c r="N29" s="68"/>
      <x:c r="O29" s="68"/>
      <x:c r="P29" s="68"/>
      <x:c r="Q29" s="68"/>
      <x:c r="R29" s="68"/>
    </x:row>
    <x:row r="30" ht="15" hidden="0" customHeight="1">
      <x:c r="A30" s="68"/>
      <x:c r="B30" s="68"/>
      <x:c r="C30" s="68"/>
      <x:c r="D30" s="68"/>
      <x:c r="E30" s="68"/>
      <x:c r="F30" s="68"/>
      <x:c r="G30" s="68"/>
      <x:c r="H30" s="68"/>
      <x:c r="I30" s="68"/>
      <x:c r="J30" s="68"/>
      <x:c r="K30" s="68"/>
      <x:c r="L30" s="68"/>
      <x:c r="M30" s="68"/>
      <x:c r="N30" s="68"/>
      <x:c r="O30" s="68"/>
      <x:c r="P30" s="68"/>
      <x:c r="Q30" s="68"/>
      <x:c r="R30" s="68"/>
    </x:row>
    <x:row r="31" ht="15" hidden="0" customHeight="1">
      <x:c r="A31" s="68"/>
      <x:c r="B31" s="68"/>
      <x:c r="C31" s="68"/>
      <x:c r="D31" s="68"/>
      <x:c r="E31" s="68"/>
      <x:c r="F31" s="68"/>
      <x:c r="G31" s="68"/>
      <x:c r="H31" s="68"/>
      <x:c r="I31" s="68"/>
      <x:c r="J31" s="68"/>
      <x:c r="K31" s="68"/>
      <x:c r="L31" s="68"/>
      <x:c r="M31" s="68"/>
      <x:c r="N31" s="68"/>
      <x:c r="O31" s="68"/>
      <x:c r="P31" s="68"/>
      <x:c r="Q31" s="68"/>
      <x:c r="R31" s="68"/>
    </x:row>
    <x:row r="32" ht="15" hidden="0" customHeight="1">
      <x:c r="A32" s="68"/>
      <x:c r="B32" s="68"/>
      <x:c r="C32" s="68"/>
      <x:c r="D32" s="68"/>
      <x:c r="E32" s="68"/>
      <x:c r="F32" s="68"/>
      <x:c r="G32" s="68"/>
      <x:c r="H32" s="68"/>
      <x:c r="I32" s="68"/>
      <x:c r="J32" s="68"/>
      <x:c r="K32" s="68"/>
      <x:c r="L32" s="68"/>
      <x:c r="M32" s="68"/>
      <x:c r="N32" s="68"/>
      <x:c r="O32" s="68"/>
      <x:c r="P32" s="68"/>
      <x:c r="Q32" s="68"/>
      <x:c r="R32" s="68"/>
    </x:row>
    <x:row r="33" ht="15" hidden="0" customHeight="1">
      <x:c r="A33" s="68"/>
      <x:c r="B33" s="68"/>
      <x:c r="C33" s="68"/>
      <x:c r="D33" s="68"/>
      <x:c r="E33" s="68"/>
      <x:c r="F33" s="68"/>
      <x:c r="G33" s="68"/>
      <x:c r="H33" s="68"/>
      <x:c r="I33" s="68"/>
      <x:c r="J33" s="68"/>
      <x:c r="K33" s="68"/>
      <x:c r="L33" s="68"/>
      <x:c r="M33" s="68"/>
      <x:c r="N33" s="68"/>
      <x:c r="O33" s="68"/>
      <x:c r="P33" s="68"/>
      <x:c r="Q33" s="68"/>
      <x:c r="R33" s="68"/>
    </x:row>
    <x:row r="34" ht="15" hidden="0" customHeight="1">
      <x:c r="A34" s="68"/>
      <x:c r="B34" s="68"/>
      <x:c r="C34" s="68"/>
      <x:c r="D34" s="68"/>
      <x:c r="E34" s="68"/>
      <x:c r="F34" s="68"/>
      <x:c r="G34" s="68"/>
      <x:c r="H34" s="68"/>
      <x:c r="I34" s="68"/>
      <x:c r="J34" s="68"/>
      <x:c r="K34" s="68"/>
      <x:c r="L34" s="68"/>
      <x:c r="M34" s="68"/>
      <x:c r="N34" s="68"/>
      <x:c r="O34" s="68"/>
      <x:c r="P34" s="68"/>
      <x:c r="Q34" s="68"/>
      <x:c r="R34" s="68"/>
    </x:row>
    <x:row r="35" ht="15" hidden="0" customHeight="1">
      <x:c r="A35" s="68"/>
      <x:c r="B35" s="68"/>
      <x:c r="C35" s="68"/>
      <x:c r="D35" s="68"/>
      <x:c r="E35" s="68"/>
      <x:c r="F35" s="68"/>
      <x:c r="G35" s="68"/>
      <x:c r="H35" s="68"/>
      <x:c r="I35" s="68"/>
      <x:c r="J35" s="68"/>
      <x:c r="K35" s="68"/>
      <x:c r="L35" s="68"/>
      <x:c r="M35" s="68"/>
      <x:c r="N35" s="68"/>
      <x:c r="O35" s="68"/>
      <x:c r="P35" s="68"/>
      <x:c r="Q35" s="68"/>
      <x:c r="R35" s="68"/>
    </x:row>
    <x:row r="36" ht="15" hidden="0" customHeight="1">
      <x:c r="A36" s="68"/>
      <x:c r="B36" s="68"/>
      <x:c r="C36" s="68"/>
      <x:c r="D36" s="68"/>
      <x:c r="E36" s="68"/>
      <x:c r="F36" s="68"/>
      <x:c r="G36" s="68"/>
      <x:c r="H36" s="68"/>
      <x:c r="I36" s="68"/>
      <x:c r="J36" s="68"/>
      <x:c r="K36" s="68"/>
      <x:c r="L36" s="68"/>
      <x:c r="M36" s="68"/>
      <x:c r="N36" s="68"/>
      <x:c r="O36" s="68"/>
      <x:c r="P36" s="68"/>
      <x:c r="Q36" s="68"/>
      <x:c r="R36" s="68"/>
    </x:row>
    <x:row r="37" ht="15" hidden="0" customHeight="1">
      <x:c r="A37" s="68"/>
      <x:c r="B37" s="68"/>
      <x:c r="C37" s="68"/>
      <x:c r="D37" s="68"/>
      <x:c r="E37" s="68"/>
      <x:c r="F37" s="68"/>
      <x:c r="G37" s="68"/>
      <x:c r="H37" s="68"/>
      <x:c r="I37" s="68"/>
      <x:c r="J37" s="68"/>
      <x:c r="K37" s="68"/>
      <x:c r="L37" s="68"/>
      <x:c r="M37" s="68"/>
      <x:c r="N37" s="68"/>
      <x:c r="O37" s="68"/>
      <x:c r="P37" s="68"/>
      <x:c r="Q37" s="68"/>
      <x:c r="R37" s="68"/>
    </x:row>
    <x:row r="38" ht="15" hidden="0" customHeight="1">
      <x:c r="A38" s="68"/>
      <x:c r="B38" s="68"/>
      <x:c r="C38" s="68"/>
      <x:c r="D38" s="68"/>
      <x:c r="E38" s="68"/>
      <x:c r="F38" s="68"/>
      <x:c r="G38" s="68"/>
      <x:c r="H38" s="68"/>
      <x:c r="I38" s="68"/>
      <x:c r="J38" s="68"/>
      <x:c r="K38" s="68"/>
      <x:c r="L38" s="68"/>
      <x:c r="M38" s="68"/>
      <x:c r="N38" s="68"/>
      <x:c r="O38" s="68"/>
      <x:c r="P38" s="68"/>
      <x:c r="Q38" s="68"/>
      <x:c r="R38" s="68"/>
    </x:row>
    <x:row r="39" ht="15" hidden="0" customHeight="1">
      <x:c r="A39" s="68"/>
      <x:c r="B39" s="68"/>
      <x:c r="C39" s="68"/>
      <x:c r="D39" s="68"/>
      <x:c r="E39" s="68"/>
      <x:c r="F39" s="68"/>
      <x:c r="G39" s="68"/>
      <x:c r="H39" s="68"/>
      <x:c r="I39" s="68"/>
      <x:c r="J39" s="68"/>
      <x:c r="K39" s="68"/>
      <x:c r="L39" s="68"/>
      <x:c r="M39" s="68"/>
      <x:c r="N39" s="68"/>
      <x:c r="O39" s="68"/>
      <x:c r="P39" s="68"/>
      <x:c r="Q39" s="68"/>
      <x:c r="R39" s="68"/>
    </x:row>
    <x:row r="40" ht="15" hidden="0" customHeight="1">
      <x:c r="A40" s="68"/>
      <x:c r="B40" s="68"/>
      <x:c r="C40" s="68"/>
      <x:c r="D40" s="68"/>
      <x:c r="E40" s="68"/>
      <x:c r="F40" s="68"/>
      <x:c r="G40" s="68"/>
      <x:c r="H40" s="68"/>
      <x:c r="I40" s="68"/>
      <x:c r="J40" s="68"/>
      <x:c r="K40" s="68"/>
      <x:c r="L40" s="68"/>
      <x:c r="M40" s="68"/>
      <x:c r="N40" s="68"/>
      <x:c r="O40" s="68"/>
      <x:c r="P40" s="68"/>
      <x:c r="Q40" s="68"/>
      <x:c r="R40" s="68"/>
    </x:row>
    <x:row r="41" ht="15" hidden="0" customHeight="1">
      <x:c r="A41" s="68"/>
      <x:c r="B41" s="68"/>
      <x:c r="C41" s="68"/>
      <x:c r="D41" s="68"/>
      <x:c r="E41" s="68"/>
      <x:c r="F41" s="68"/>
      <x:c r="G41" s="68"/>
      <x:c r="H41" s="68"/>
      <x:c r="I41" s="68"/>
      <x:c r="J41" s="68"/>
      <x:c r="K41" s="68"/>
      <x:c r="L41" s="68"/>
      <x:c r="M41" s="68"/>
      <x:c r="N41" s="68"/>
      <x:c r="O41" s="68"/>
      <x:c r="P41" s="68"/>
      <x:c r="Q41" s="68"/>
      <x:c r="R41" s="68"/>
    </x:row>
    <x:row r="42" ht="15" hidden="0" customHeight="1">
      <x:c r="A42" s="68"/>
      <x:c r="B42" s="68"/>
      <x:c r="C42" s="68"/>
      <x:c r="D42" s="68"/>
      <x:c r="E42" s="68"/>
      <x:c r="F42" s="68"/>
      <x:c r="G42" s="68"/>
      <x:c r="H42" s="68"/>
      <x:c r="I42" s="68"/>
      <x:c r="J42" s="68"/>
      <x:c r="K42" s="68"/>
      <x:c r="L42" s="68"/>
      <x:c r="M42" s="68"/>
      <x:c r="N42" s="68"/>
      <x:c r="O42" s="68"/>
      <x:c r="P42" s="68"/>
      <x:c r="Q42" s="68"/>
      <x:c r="R42" s="68"/>
    </x:row>
    <x:row r="43" ht="15" hidden="0" customHeight="1">
      <x:c r="A43" s="68"/>
      <x:c r="B43" s="68"/>
      <x:c r="C43" s="68"/>
      <x:c r="D43" s="68"/>
      <x:c r="E43" s="68"/>
      <x:c r="F43" s="68"/>
      <x:c r="G43" s="68"/>
      <x:c r="H43" s="68"/>
      <x:c r="I43" s="68"/>
      <x:c r="J43" s="68"/>
      <x:c r="K43" s="68"/>
      <x:c r="L43" s="68"/>
      <x:c r="M43" s="68"/>
      <x:c r="N43" s="68"/>
      <x:c r="O43" s="68"/>
      <x:c r="P43" s="68"/>
      <x:c r="Q43" s="68"/>
      <x:c r="R43" s="68"/>
    </x:row>
    <x:row r="44" ht="15" hidden="0" customHeight="1">
      <x:c r="A44" s="68"/>
      <x:c r="B44" s="68"/>
      <x:c r="C44" s="68"/>
      <x:c r="D44" s="68"/>
      <x:c r="E44" s="68"/>
      <x:c r="F44" s="68"/>
      <x:c r="G44" s="68"/>
      <x:c r="H44" s="68"/>
      <x:c r="I44" s="68"/>
      <x:c r="J44" s="68"/>
      <x:c r="K44" s="68"/>
      <x:c r="L44" s="68"/>
      <x:c r="M44" s="68"/>
      <x:c r="N44" s="68"/>
      <x:c r="O44" s="68"/>
      <x:c r="P44" s="68"/>
      <x:c r="Q44" s="68"/>
      <x:c r="R44" s="68"/>
    </x:row>
    <x:row r="45" ht="15" hidden="0" customHeight="1">
      <x:c r="A45" s="68"/>
      <x:c r="B45" s="68"/>
      <x:c r="C45" s="68"/>
      <x:c r="D45" s="68"/>
      <x:c r="E45" s="68"/>
      <x:c r="F45" s="68"/>
      <x:c r="G45" s="68"/>
      <x:c r="H45" s="68"/>
      <x:c r="I45" s="68"/>
      <x:c r="J45" s="68"/>
      <x:c r="K45" s="68"/>
      <x:c r="L45" s="68"/>
      <x:c r="M45" s="68"/>
      <x:c r="N45" s="68"/>
      <x:c r="O45" s="68"/>
      <x:c r="P45" s="68"/>
      <x:c r="Q45" s="68"/>
      <x:c r="R45" s="68"/>
    </x:row>
    <x:row r="46" ht="15" hidden="0" customHeight="1">
      <x:c r="A46" s="68"/>
      <x:c r="B46" s="68"/>
      <x:c r="C46" s="68"/>
      <x:c r="D46" s="68"/>
      <x:c r="E46" s="68"/>
      <x:c r="F46" s="68"/>
      <x:c r="G46" s="68"/>
      <x:c r="H46" s="68"/>
      <x:c r="I46" s="68"/>
      <x:c r="J46" s="68"/>
      <x:c r="K46" s="68"/>
      <x:c r="L46" s="68"/>
      <x:c r="M46" s="68"/>
      <x:c r="N46" s="68"/>
      <x:c r="O46" s="68"/>
      <x:c r="P46" s="68"/>
      <x:c r="Q46" s="68"/>
      <x:c r="R46" s="68"/>
    </x:row>
    <x:row r="47" ht="15" hidden="0" customHeight="1">
      <x:c r="A47" s="68"/>
      <x:c r="B47" s="68"/>
      <x:c r="C47" s="68"/>
      <x:c r="D47" s="68"/>
      <x:c r="E47" s="68"/>
      <x:c r="F47" s="68"/>
      <x:c r="G47" s="68"/>
      <x:c r="H47" s="68"/>
      <x:c r="I47" s="68"/>
      <x:c r="J47" s="68"/>
      <x:c r="K47" s="68"/>
      <x:c r="L47" s="68"/>
      <x:c r="M47" s="68"/>
      <x:c r="N47" s="68"/>
      <x:c r="O47" s="68"/>
      <x:c r="P47" s="68"/>
      <x:c r="Q47" s="68"/>
      <x:c r="R47" s="68"/>
    </x:row>
    <x:row r="48" ht="15" hidden="0" customHeight="1">
      <x:c r="A48" s="68"/>
      <x:c r="B48" s="68"/>
      <x:c r="C48" s="68"/>
      <x:c r="D48" s="68"/>
      <x:c r="E48" s="68"/>
      <x:c r="F48" s="68"/>
      <x:c r="G48" s="68"/>
      <x:c r="H48" s="68"/>
      <x:c r="I48" s="68"/>
      <x:c r="J48" s="68"/>
      <x:c r="K48" s="68"/>
      <x:c r="L48" s="68"/>
      <x:c r="M48" s="68"/>
      <x:c r="N48" s="68"/>
      <x:c r="O48" s="68"/>
      <x:c r="P48" s="68"/>
      <x:c r="Q48" s="68"/>
      <x:c r="R48" s="68"/>
    </x:row>
    <x:row r="49" ht="15" hidden="0" customHeight="1">
      <x:c r="A49" s="68"/>
      <x:c r="B49" s="68"/>
      <x:c r="C49" s="68"/>
      <x:c r="D49" s="68"/>
      <x:c r="E49" s="68"/>
      <x:c r="F49" s="68"/>
      <x:c r="G49" s="68"/>
      <x:c r="H49" s="68"/>
      <x:c r="I49" s="68"/>
      <x:c r="J49" s="68"/>
      <x:c r="K49" s="68"/>
      <x:c r="L49" s="68"/>
      <x:c r="M49" s="68"/>
      <x:c r="N49" s="68"/>
      <x:c r="O49" s="68"/>
      <x:c r="P49" s="68"/>
      <x:c r="Q49" s="68"/>
      <x:c r="R49" s="68"/>
    </x:row>
    <x:row r="50" ht="15" hidden="0" customHeight="1">
      <x:c r="A50" s="68"/>
      <x:c r="B50" s="68"/>
      <x:c r="C50" s="68"/>
      <x:c r="D50" s="68"/>
      <x:c r="E50" s="68"/>
      <x:c r="F50" s="68"/>
      <x:c r="G50" s="68"/>
      <x:c r="H50" s="68"/>
      <x:c r="I50" s="68"/>
      <x:c r="J50" s="68"/>
      <x:c r="K50" s="68"/>
      <x:c r="L50" s="68"/>
      <x:c r="M50" s="68"/>
      <x:c r="N50" s="68"/>
      <x:c r="O50" s="68"/>
      <x:c r="P50" s="68"/>
      <x:c r="Q50" s="68"/>
      <x:c r="R50" s="68"/>
    </x:row>
    <x:row r="51" ht="15" hidden="0" customHeight="1">
      <x:c r="A51" s="68"/>
      <x:c r="B51" s="68"/>
      <x:c r="C51" s="68"/>
      <x:c r="D51" s="68"/>
      <x:c r="E51" s="68"/>
      <x:c r="F51" s="68"/>
      <x:c r="G51" s="68"/>
      <x:c r="H51" s="68"/>
      <x:c r="I51" s="68"/>
      <x:c r="J51" s="68"/>
      <x:c r="K51" s="68"/>
      <x:c r="L51" s="68"/>
      <x:c r="M51" s="68"/>
      <x:c r="N51" s="68"/>
      <x:c r="O51" s="68"/>
      <x:c r="P51" s="68"/>
      <x:c r="Q51" s="68"/>
      <x:c r="R51" s="68"/>
    </x:row>
    <x:row r="52" ht="15" hidden="0" customHeight="1">
      <x:c r="A52" s="68"/>
      <x:c r="B52" s="68"/>
      <x:c r="C52" s="68"/>
      <x:c r="D52" s="68"/>
      <x:c r="E52" s="68"/>
      <x:c r="F52" s="68"/>
      <x:c r="G52" s="68"/>
      <x:c r="H52" s="68"/>
      <x:c r="I52" s="68"/>
      <x:c r="J52" s="68"/>
      <x:c r="K52" s="68"/>
      <x:c r="L52" s="68"/>
      <x:c r="M52" s="68"/>
      <x:c r="N52" s="68"/>
      <x:c r="O52" s="68"/>
      <x:c r="P52" s="68"/>
      <x:c r="Q52" s="68"/>
      <x:c r="R52" s="68"/>
    </x:row>
    <x:row r="53" ht="15" hidden="0" customHeight="1">
      <x:c r="A53" s="68"/>
      <x:c r="B53" s="68"/>
      <x:c r="C53" s="68"/>
      <x:c r="D53" s="68"/>
      <x:c r="E53" s="68"/>
      <x:c r="F53" s="68"/>
      <x:c r="G53" s="68"/>
      <x:c r="H53" s="68"/>
      <x:c r="I53" s="68"/>
      <x:c r="J53" s="68"/>
      <x:c r="K53" s="68"/>
      <x:c r="L53" s="68"/>
      <x:c r="M53" s="68"/>
      <x:c r="N53" s="68"/>
      <x:c r="O53" s="68"/>
      <x:c r="P53" s="68"/>
      <x:c r="Q53" s="68"/>
      <x:c r="R53" s="68"/>
    </x:row>
    <x:row r="54" ht="15" hidden="0" customHeight="1">
      <x:c r="A54" s="68"/>
      <x:c r="B54" s="68"/>
      <x:c r="C54" s="68"/>
      <x:c r="D54" s="68"/>
      <x:c r="E54" s="68"/>
      <x:c r="F54" s="68"/>
      <x:c r="G54" s="68"/>
      <x:c r="H54" s="68"/>
      <x:c r="I54" s="68"/>
      <x:c r="J54" s="68"/>
      <x:c r="K54" s="68"/>
      <x:c r="L54" s="68"/>
      <x:c r="M54" s="68"/>
      <x:c r="N54" s="68"/>
      <x:c r="O54" s="68"/>
      <x:c r="P54" s="68"/>
      <x:c r="Q54" s="68"/>
      <x:c r="R54" s="68"/>
    </x:row>
    <x:row r="55" ht="15" hidden="0" customHeight="1">
      <x:c r="A55" s="68"/>
      <x:c r="B55" s="68"/>
      <x:c r="C55" s="68"/>
      <x:c r="D55" s="68"/>
      <x:c r="E55" s="68"/>
      <x:c r="F55" s="68"/>
      <x:c r="G55" s="68"/>
      <x:c r="H55" s="68"/>
      <x:c r="I55" s="68"/>
      <x:c r="J55" s="68"/>
      <x:c r="K55" s="68"/>
      <x:c r="L55" s="68"/>
      <x:c r="M55" s="68"/>
      <x:c r="N55" s="68"/>
      <x:c r="O55" s="68"/>
      <x:c r="P55" s="68"/>
      <x:c r="Q55" s="68"/>
      <x:c r="R55" s="68"/>
    </x:row>
    <x:row r="56" ht="15" hidden="0" customHeight="1">
      <x:c r="A56" s="68"/>
      <x:c r="B56" s="68"/>
      <x:c r="C56" s="68"/>
      <x:c r="D56" s="68"/>
      <x:c r="E56" s="68"/>
      <x:c r="F56" s="68"/>
      <x:c r="G56" s="68"/>
      <x:c r="H56" s="68"/>
      <x:c r="I56" s="68"/>
      <x:c r="J56" s="68"/>
      <x:c r="K56" s="68"/>
      <x:c r="L56" s="68"/>
      <x:c r="M56" s="68"/>
      <x:c r="N56" s="68"/>
      <x:c r="O56" s="68"/>
      <x:c r="P56" s="68"/>
      <x:c r="Q56" s="68"/>
      <x:c r="R56" s="68"/>
    </x:row>
    <x:row r="57" ht="15" hidden="0" customHeight="1">
      <x:c r="A57" s="68"/>
      <x:c r="B57" s="68"/>
      <x:c r="C57" s="68"/>
      <x:c r="D57" s="68"/>
      <x:c r="E57" s="68"/>
      <x:c r="F57" s="68"/>
      <x:c r="G57" s="68"/>
      <x:c r="H57" s="68"/>
      <x:c r="I57" s="68"/>
      <x:c r="J57" s="68"/>
      <x:c r="K57" s="68"/>
      <x:c r="L57" s="68"/>
      <x:c r="M57" s="68"/>
      <x:c r="N57" s="68"/>
      <x:c r="O57" s="68"/>
      <x:c r="P57" s="68"/>
      <x:c r="Q57" s="68"/>
      <x:c r="R57" s="68"/>
    </x:row>
    <x:row r="58" ht="15" hidden="0" customHeight="1">
      <x:c r="A58" s="68"/>
      <x:c r="B58" s="68"/>
      <x:c r="C58" s="68"/>
      <x:c r="D58" s="68"/>
      <x:c r="E58" s="68"/>
      <x:c r="F58" s="68"/>
      <x:c r="G58" s="68"/>
      <x:c r="H58" s="68"/>
      <x:c r="I58" s="68"/>
      <x:c r="J58" s="68"/>
      <x:c r="K58" s="68"/>
      <x:c r="L58" s="68"/>
      <x:c r="M58" s="68"/>
      <x:c r="N58" s="68"/>
      <x:c r="O58" s="68"/>
      <x:c r="P58" s="68"/>
      <x:c r="Q58" s="68"/>
      <x:c r="R58" s="68"/>
    </x:row>
    <x:row r="59" ht="15" hidden="0" customHeight="1">
      <x:c r="A59" s="68"/>
      <x:c r="B59" s="68"/>
      <x:c r="C59" s="68"/>
      <x:c r="D59" s="68"/>
      <x:c r="E59" s="68"/>
      <x:c r="F59" s="68"/>
      <x:c r="G59" s="68"/>
      <x:c r="H59" s="68"/>
      <x:c r="I59" s="68"/>
      <x:c r="J59" s="68"/>
      <x:c r="K59" s="68"/>
      <x:c r="L59" s="68"/>
      <x:c r="M59" s="68"/>
      <x:c r="N59" s="68"/>
      <x:c r="O59" s="68"/>
      <x:c r="P59" s="68"/>
      <x:c r="Q59" s="68"/>
      <x:c r="R59" s="68"/>
    </x:row>
    <x:row r="60" ht="15" hidden="0" customHeight="1">
      <x:c r="A60" s="68"/>
      <x:c r="B60" s="68"/>
      <x:c r="C60" s="68"/>
      <x:c r="D60" s="68"/>
      <x:c r="E60" s="68"/>
      <x:c r="F60" s="68"/>
      <x:c r="G60" s="68"/>
      <x:c r="H60" s="68"/>
      <x:c r="I60" s="68"/>
      <x:c r="J60" s="68"/>
      <x:c r="K60" s="68"/>
      <x:c r="L60" s="68"/>
      <x:c r="M60" s="68"/>
      <x:c r="N60" s="68"/>
      <x:c r="O60" s="68"/>
      <x:c r="P60" s="68"/>
      <x:c r="Q60" s="68"/>
      <x:c r="R60" s="68"/>
    </x:row>
    <x:row r="61" ht="15" hidden="0" customHeight="1">
      <x:c r="A61" s="68"/>
      <x:c r="B61" s="68"/>
      <x:c r="C61" s="68"/>
      <x:c r="D61" s="68"/>
      <x:c r="E61" s="68"/>
      <x:c r="F61" s="68"/>
      <x:c r="G61" s="68"/>
      <x:c r="H61" s="68"/>
      <x:c r="I61" s="68"/>
      <x:c r="J61" s="68"/>
      <x:c r="K61" s="68"/>
      <x:c r="L61" s="68"/>
      <x:c r="M61" s="68"/>
      <x:c r="N61" s="68"/>
      <x:c r="O61" s="68"/>
      <x:c r="P61" s="68"/>
      <x:c r="Q61" s="68"/>
      <x:c r="R61" s="68"/>
    </x:row>
    <x:row r="62" ht="15" hidden="0" customHeight="1">
      <x:c r="A62" s="68"/>
      <x:c r="B62" s="68"/>
      <x:c r="C62" s="68"/>
      <x:c r="D62" s="68"/>
      <x:c r="E62" s="68"/>
      <x:c r="F62" s="68"/>
      <x:c r="G62" s="68"/>
      <x:c r="H62" s="68"/>
      <x:c r="I62" s="68"/>
      <x:c r="J62" s="68"/>
      <x:c r="K62" s="68"/>
      <x:c r="L62" s="68"/>
      <x:c r="M62" s="68"/>
      <x:c r="N62" s="68"/>
      <x:c r="O62" s="68"/>
      <x:c r="P62" s="68"/>
      <x:c r="Q62" s="68"/>
      <x:c r="R62" s="68"/>
    </x:row>
    <x:row r="63" ht="15" hidden="0" customHeight="1">
      <x:c r="A63" s="68"/>
      <x:c r="B63" s="68"/>
      <x:c r="C63" s="68"/>
      <x:c r="D63" s="68"/>
      <x:c r="E63" s="68"/>
      <x:c r="F63" s="68"/>
      <x:c r="G63" s="68"/>
      <x:c r="H63" s="68"/>
      <x:c r="I63" s="68"/>
      <x:c r="J63" s="68"/>
      <x:c r="K63" s="68"/>
      <x:c r="L63" s="68"/>
      <x:c r="M63" s="68"/>
      <x:c r="N63" s="68"/>
      <x:c r="O63" s="68"/>
      <x:c r="P63" s="68"/>
      <x:c r="Q63" s="68"/>
      <x:c r="R63" s="68"/>
    </x:row>
    <x:row r="64" ht="15" hidden="0" customHeight="1">
      <x:c r="A64" s="68"/>
      <x:c r="B64" s="68"/>
      <x:c r="C64" s="68"/>
      <x:c r="D64" s="68"/>
      <x:c r="E64" s="68"/>
      <x:c r="F64" s="68"/>
      <x:c r="G64" s="68"/>
      <x:c r="H64" s="68"/>
      <x:c r="I64" s="68"/>
      <x:c r="J64" s="68"/>
      <x:c r="K64" s="68"/>
      <x:c r="L64" s="68"/>
      <x:c r="M64" s="68"/>
      <x:c r="N64" s="68"/>
      <x:c r="O64" s="68"/>
      <x:c r="P64" s="68"/>
      <x:c r="Q64" s="68"/>
      <x:c r="R64" s="68"/>
    </x:row>
    <x:row r="65" ht="15" hidden="0" customHeight="1">
      <x:c r="A65" s="68"/>
      <x:c r="B65" s="68"/>
      <x:c r="C65" s="68"/>
      <x:c r="D65" s="68"/>
      <x:c r="E65" s="68"/>
      <x:c r="F65" s="68"/>
      <x:c r="G65" s="68"/>
      <x:c r="H65" s="68"/>
      <x:c r="I65" s="68"/>
      <x:c r="J65" s="68"/>
      <x:c r="K65" s="68"/>
      <x:c r="L65" s="68"/>
      <x:c r="M65" s="68"/>
      <x:c r="N65" s="68"/>
      <x:c r="O65" s="68"/>
      <x:c r="P65" s="68"/>
      <x:c r="Q65" s="68"/>
      <x:c r="R65" s="68"/>
    </x:row>
    <x:row r="66" ht="15" hidden="0" customHeight="1">
      <x:c r="A66" s="68"/>
      <x:c r="B66" s="68"/>
      <x:c r="C66" s="68"/>
      <x:c r="D66" s="68"/>
      <x:c r="E66" s="68"/>
      <x:c r="F66" s="68"/>
      <x:c r="G66" s="68"/>
      <x:c r="H66" s="68"/>
      <x:c r="I66" s="68"/>
      <x:c r="J66" s="68"/>
      <x:c r="K66" s="68"/>
      <x:c r="L66" s="68"/>
      <x:c r="M66" s="68"/>
      <x:c r="N66" s="68"/>
      <x:c r="O66" s="68"/>
      <x:c r="P66" s="68"/>
      <x:c r="Q66" s="68"/>
      <x:c r="R66" s="68"/>
    </x:row>
    <x:row r="67" ht="15" hidden="0" customHeight="1">
      <x:c r="A67" s="68"/>
      <x:c r="B67" s="68"/>
      <x:c r="C67" s="68"/>
      <x:c r="D67" s="68"/>
      <x:c r="E67" s="68"/>
      <x:c r="F67" s="68"/>
      <x:c r="G67" s="68"/>
      <x:c r="H67" s="68"/>
      <x:c r="I67" s="68"/>
      <x:c r="J67" s="68"/>
      <x:c r="K67" s="68"/>
      <x:c r="L67" s="68"/>
      <x:c r="M67" s="68"/>
      <x:c r="N67" s="68"/>
      <x:c r="O67" s="68"/>
      <x:c r="P67" s="68"/>
      <x:c r="Q67" s="68"/>
      <x:c r="R67" s="68"/>
    </x:row>
    <x:row r="68" ht="15" hidden="0" customHeight="1">
      <x:c r="A68" s="68"/>
      <x:c r="B68" s="68"/>
      <x:c r="C68" s="68"/>
      <x:c r="D68" s="68"/>
      <x:c r="E68" s="68"/>
      <x:c r="F68" s="68"/>
      <x:c r="G68" s="68"/>
      <x:c r="H68" s="68"/>
      <x:c r="I68" s="68"/>
      <x:c r="J68" s="68"/>
      <x:c r="K68" s="68"/>
      <x:c r="L68" s="68"/>
      <x:c r="M68" s="68"/>
      <x:c r="N68" s="68"/>
      <x:c r="O68" s="68"/>
      <x:c r="P68" s="68"/>
      <x:c r="Q68" s="68"/>
      <x:c r="R68" s="68"/>
    </x:row>
    <x:row r="69" ht="15" hidden="0" customHeight="1">
      <x:c r="A69" s="68"/>
      <x:c r="B69" s="68"/>
      <x:c r="C69" s="68"/>
      <x:c r="D69" s="68"/>
      <x:c r="E69" s="68"/>
      <x:c r="F69" s="68"/>
      <x:c r="G69" s="68"/>
      <x:c r="H69" s="68"/>
      <x:c r="I69" s="68"/>
      <x:c r="J69" s="68"/>
      <x:c r="K69" s="68"/>
      <x:c r="L69" s="68"/>
      <x:c r="M69" s="68"/>
      <x:c r="N69" s="68"/>
      <x:c r="O69" s="68"/>
      <x:c r="P69" s="68"/>
      <x:c r="Q69" s="68"/>
      <x:c r="R69" s="68"/>
    </x:row>
    <x:row r="70" ht="15" hidden="0" customHeight="1">
      <x:c r="A70" s="68"/>
      <x:c r="B70" s="68"/>
      <x:c r="C70" s="68"/>
      <x:c r="D70" s="68"/>
      <x:c r="E70" s="68"/>
      <x:c r="F70" s="68"/>
      <x:c r="G70" s="68"/>
      <x:c r="H70" s="68"/>
      <x:c r="I70" s="68"/>
      <x:c r="J70" s="68"/>
      <x:c r="K70" s="68"/>
      <x:c r="L70" s="68"/>
      <x:c r="M70" s="68"/>
      <x:c r="N70" s="68"/>
      <x:c r="O70" s="68"/>
      <x:c r="P70" s="68"/>
      <x:c r="Q70" s="68"/>
      <x:c r="R70" s="68"/>
    </x:row>
    <x:row r="71" ht="15" hidden="0" customHeight="1">
      <x:c r="A71" s="68"/>
      <x:c r="B71" s="68"/>
      <x:c r="C71" s="68"/>
      <x:c r="D71" s="68"/>
      <x:c r="E71" s="68"/>
      <x:c r="F71" s="68"/>
      <x:c r="G71" s="68"/>
      <x:c r="H71" s="68"/>
      <x:c r="I71" s="68"/>
      <x:c r="J71" s="68"/>
      <x:c r="K71" s="68"/>
      <x:c r="L71" s="68"/>
      <x:c r="M71" s="68"/>
      <x:c r="N71" s="68"/>
      <x:c r="O71" s="68"/>
      <x:c r="P71" s="68"/>
      <x:c r="Q71" s="68"/>
      <x:c r="R71" s="68"/>
    </x:row>
    <x:row r="72" ht="15" hidden="0" customHeight="1">
      <x:c r="A72" s="68"/>
      <x:c r="B72" s="68"/>
      <x:c r="C72" s="68"/>
      <x:c r="D72" s="68"/>
      <x:c r="E72" s="68"/>
      <x:c r="F72" s="68"/>
      <x:c r="G72" s="68"/>
      <x:c r="H72" s="68"/>
      <x:c r="I72" s="68"/>
      <x:c r="J72" s="68"/>
      <x:c r="K72" s="68"/>
      <x:c r="L72" s="68"/>
      <x:c r="M72" s="68"/>
      <x:c r="N72" s="68"/>
      <x:c r="O72" s="68"/>
      <x:c r="P72" s="68"/>
      <x:c r="Q72" s="68"/>
      <x:c r="R72" s="68"/>
    </x:row>
    <x:row r="73" ht="15" hidden="0" customHeight="1">
      <x:c r="A73" s="68"/>
      <x:c r="B73" s="68"/>
      <x:c r="C73" s="68"/>
      <x:c r="D73" s="68"/>
      <x:c r="E73" s="68"/>
      <x:c r="F73" s="68"/>
      <x:c r="G73" s="68"/>
      <x:c r="H73" s="68"/>
      <x:c r="I73" s="68"/>
      <x:c r="J73" s="68"/>
      <x:c r="K73" s="68"/>
      <x:c r="L73" s="68"/>
      <x:c r="M73" s="68"/>
      <x:c r="N73" s="68"/>
      <x:c r="O73" s="68"/>
      <x:c r="P73" s="68"/>
      <x:c r="Q73" s="68"/>
      <x:c r="R73" s="68"/>
    </x:row>
    <x:row r="74" ht="15" hidden="0" customHeight="1">
      <x:c r="A74" s="68"/>
      <x:c r="B74" s="68"/>
      <x:c r="C74" s="68"/>
      <x:c r="D74" s="68"/>
      <x:c r="E74" s="68"/>
      <x:c r="F74" s="68"/>
      <x:c r="G74" s="68"/>
      <x:c r="H74" s="68"/>
      <x:c r="I74" s="68"/>
      <x:c r="J74" s="68"/>
      <x:c r="K74" s="68"/>
      <x:c r="L74" s="68"/>
      <x:c r="M74" s="68"/>
      <x:c r="N74" s="68"/>
      <x:c r="O74" s="68"/>
      <x:c r="P74" s="68"/>
      <x:c r="Q74" s="68"/>
      <x:c r="R74" s="68"/>
    </x:row>
    <x:row r="75" ht="15" hidden="0" customHeight="1">
      <x:c r="A75" s="68"/>
      <x:c r="B75" s="68"/>
      <x:c r="C75" s="68"/>
      <x:c r="D75" s="68"/>
      <x:c r="E75" s="68"/>
      <x:c r="F75" s="68"/>
      <x:c r="G75" s="68"/>
      <x:c r="H75" s="68"/>
      <x:c r="I75" s="68"/>
      <x:c r="J75" s="68"/>
      <x:c r="K75" s="68"/>
      <x:c r="L75" s="68"/>
      <x:c r="M75" s="68"/>
      <x:c r="N75" s="68"/>
      <x:c r="O75" s="68"/>
      <x:c r="P75" s="68"/>
      <x:c r="Q75" s="68"/>
      <x:c r="R75" s="68"/>
    </x:row>
    <x:row r="76" ht="15" hidden="0" customHeight="1">
      <x:c r="A76" s="68"/>
      <x:c r="B76" s="68"/>
      <x:c r="C76" s="68"/>
      <x:c r="D76" s="68"/>
      <x:c r="E76" s="68"/>
      <x:c r="F76" s="68"/>
      <x:c r="G76" s="68"/>
      <x:c r="H76" s="68"/>
      <x:c r="I76" s="68"/>
      <x:c r="J76" s="68"/>
      <x:c r="K76" s="68"/>
      <x:c r="L76" s="68"/>
      <x:c r="M76" s="68"/>
      <x:c r="N76" s="68"/>
      <x:c r="O76" s="68"/>
      <x:c r="P76" s="68"/>
      <x:c r="Q76" s="68"/>
      <x:c r="R76" s="68"/>
    </x:row>
    <x:row r="77" ht="15" hidden="0" customHeight="1">
      <x:c r="A77" s="68"/>
      <x:c r="B77" s="68"/>
      <x:c r="C77" s="68"/>
      <x:c r="D77" s="68"/>
      <x:c r="E77" s="68"/>
      <x:c r="F77" s="68"/>
      <x:c r="G77" s="68"/>
      <x:c r="H77" s="68"/>
      <x:c r="I77" s="68"/>
      <x:c r="J77" s="68"/>
      <x:c r="K77" s="68"/>
      <x:c r="L77" s="68"/>
      <x:c r="M77" s="68"/>
      <x:c r="N77" s="68"/>
      <x:c r="O77" s="68"/>
      <x:c r="P77" s="68"/>
      <x:c r="Q77" s="68"/>
      <x:c r="R77" s="68"/>
    </x:row>
    <x:row r="78" ht="15" hidden="0" customHeight="1">
      <x:c r="A78" s="68"/>
      <x:c r="B78" s="68"/>
      <x:c r="C78" s="68"/>
      <x:c r="D78" s="68"/>
      <x:c r="E78" s="68"/>
      <x:c r="F78" s="68"/>
      <x:c r="G78" s="68"/>
      <x:c r="H78" s="68"/>
      <x:c r="I78" s="68"/>
      <x:c r="J78" s="68"/>
      <x:c r="K78" s="68"/>
      <x:c r="L78" s="68"/>
      <x:c r="M78" s="68"/>
      <x:c r="N78" s="68"/>
      <x:c r="O78" s="68"/>
      <x:c r="P78" s="68"/>
      <x:c r="Q78" s="68"/>
      <x:c r="R78" s="68"/>
    </x:row>
    <x:row r="79" ht="15" hidden="0" customHeight="1">
      <x:c r="A79" s="68"/>
      <x:c r="B79" s="68"/>
      <x:c r="C79" s="68"/>
      <x:c r="D79" s="68"/>
      <x:c r="E79" s="68"/>
      <x:c r="F79" s="68"/>
      <x:c r="G79" s="68"/>
      <x:c r="H79" s="68"/>
      <x:c r="I79" s="68"/>
      <x:c r="J79" s="68"/>
      <x:c r="K79" s="68"/>
      <x:c r="L79" s="68"/>
      <x:c r="M79" s="68"/>
      <x:c r="N79" s="68"/>
      <x:c r="O79" s="68"/>
      <x:c r="P79" s="68"/>
      <x:c r="Q79" s="68"/>
      <x:c r="R79" s="68"/>
    </x:row>
    <x:row r="80" ht="15" hidden="0" customHeight="1">
      <x:c r="A80" s="68"/>
      <x:c r="B80" s="68"/>
      <x:c r="C80" s="68"/>
      <x:c r="D80" s="68"/>
      <x:c r="E80" s="68"/>
      <x:c r="F80" s="68"/>
      <x:c r="G80" s="68"/>
      <x:c r="H80" s="68"/>
      <x:c r="I80" s="68"/>
      <x:c r="J80" s="68"/>
      <x:c r="K80" s="68"/>
      <x:c r="L80" s="68"/>
      <x:c r="M80" s="68"/>
      <x:c r="N80" s="68"/>
      <x:c r="O80" s="68"/>
      <x:c r="P80" s="68"/>
      <x:c r="Q80" s="68"/>
      <x:c r="R80" s="68"/>
    </x:row>
    <x:row r="81" ht="15" hidden="0" customHeight="1">
      <x:c r="A81" s="68"/>
      <x:c r="B81" s="68"/>
      <x:c r="C81" s="68"/>
      <x:c r="D81" s="68"/>
      <x:c r="E81" s="68"/>
      <x:c r="F81" s="68"/>
      <x:c r="G81" s="68"/>
      <x:c r="H81" s="68"/>
      <x:c r="I81" s="68"/>
      <x:c r="J81" s="68"/>
      <x:c r="K81" s="68"/>
      <x:c r="L81" s="68"/>
      <x:c r="M81" s="68"/>
      <x:c r="N81" s="68"/>
      <x:c r="O81" s="68"/>
      <x:c r="P81" s="68"/>
      <x:c r="Q81" s="68"/>
      <x:c r="R81" s="68"/>
    </x:row>
    <x:row r="82" ht="15" hidden="0" customHeight="1">
      <x:c r="A82" s="68"/>
      <x:c r="B82" s="68"/>
      <x:c r="C82" s="68"/>
      <x:c r="D82" s="68"/>
      <x:c r="E82" s="68"/>
      <x:c r="F82" s="68"/>
      <x:c r="G82" s="68"/>
      <x:c r="H82" s="68"/>
      <x:c r="I82" s="68"/>
      <x:c r="J82" s="68"/>
      <x:c r="K82" s="68"/>
      <x:c r="L82" s="68"/>
      <x:c r="M82" s="68"/>
      <x:c r="N82" s="68"/>
      <x:c r="O82" s="68"/>
      <x:c r="P82" s="68"/>
      <x:c r="Q82" s="68"/>
      <x:c r="R82" s="68"/>
    </x:row>
    <x:row r="83" ht="15" hidden="0" customHeight="1">
      <x:c r="A83" s="68"/>
      <x:c r="B83" s="68"/>
      <x:c r="C83" s="68"/>
      <x:c r="D83" s="68"/>
      <x:c r="E83" s="68"/>
      <x:c r="F83" s="68"/>
      <x:c r="G83" s="68"/>
      <x:c r="H83" s="68"/>
      <x:c r="I83" s="68"/>
      <x:c r="J83" s="68"/>
      <x:c r="K83" s="68"/>
      <x:c r="L83" s="68"/>
      <x:c r="M83" s="68"/>
      <x:c r="N83" s="68"/>
      <x:c r="O83" s="68"/>
      <x:c r="P83" s="68"/>
      <x:c r="Q83" s="68"/>
      <x:c r="R83" s="68"/>
    </x:row>
    <x:row r="84" ht="15" hidden="0" customHeight="1">
      <x:c r="A84" s="68"/>
      <x:c r="B84" s="68"/>
      <x:c r="C84" s="68"/>
      <x:c r="D84" s="68"/>
      <x:c r="E84" s="68"/>
      <x:c r="F84" s="68"/>
      <x:c r="G84" s="68"/>
      <x:c r="H84" s="68"/>
      <x:c r="I84" s="68"/>
      <x:c r="J84" s="68"/>
      <x:c r="K84" s="68"/>
      <x:c r="L84" s="68"/>
      <x:c r="M84" s="68"/>
      <x:c r="N84" s="68"/>
      <x:c r="O84" s="68"/>
      <x:c r="P84" s="68"/>
      <x:c r="Q84" s="68"/>
      <x:c r="R84" s="68"/>
    </x:row>
    <x:row r="85" ht="15" hidden="0" customHeight="1">
      <x:c r="A85" s="68"/>
      <x:c r="B85" s="68"/>
      <x:c r="C85" s="68"/>
      <x:c r="D85" s="68"/>
      <x:c r="E85" s="68"/>
      <x:c r="F85" s="68"/>
      <x:c r="G85" s="68"/>
      <x:c r="H85" s="68"/>
      <x:c r="I85" s="68"/>
      <x:c r="J85" s="68"/>
      <x:c r="K85" s="68"/>
      <x:c r="L85" s="68"/>
      <x:c r="M85" s="68"/>
      <x:c r="N85" s="68"/>
      <x:c r="O85" s="68"/>
      <x:c r="P85" s="68"/>
      <x:c r="Q85" s="68"/>
      <x:c r="R85" s="68"/>
    </x:row>
    <x:row r="86" ht="15" hidden="0" customHeight="1">
      <x:c r="A86" s="68"/>
      <x:c r="B86" s="68"/>
      <x:c r="C86" s="68"/>
      <x:c r="D86" s="68"/>
      <x:c r="E86" s="68"/>
      <x:c r="F86" s="68"/>
      <x:c r="G86" s="68"/>
      <x:c r="H86" s="68"/>
      <x:c r="I86" s="68"/>
      <x:c r="J86" s="68"/>
      <x:c r="K86" s="68"/>
      <x:c r="L86" s="68"/>
      <x:c r="M86" s="68"/>
      <x:c r="N86" s="68"/>
      <x:c r="O86" s="68"/>
      <x:c r="P86" s="68"/>
      <x:c r="Q86" s="68"/>
      <x:c r="R86" s="68"/>
    </x:row>
    <x:row r="87" ht="15" hidden="0" customHeight="1">
      <x:c r="A87" s="68"/>
      <x:c r="B87" s="68"/>
      <x:c r="C87" s="68"/>
      <x:c r="D87" s="68"/>
      <x:c r="E87" s="68"/>
      <x:c r="F87" s="68"/>
      <x:c r="G87" s="68"/>
      <x:c r="H87" s="68"/>
      <x:c r="I87" s="68"/>
      <x:c r="J87" s="68"/>
      <x:c r="K87" s="68"/>
      <x:c r="L87" s="68"/>
      <x:c r="M87" s="68"/>
      <x:c r="N87" s="68"/>
      <x:c r="O87" s="68"/>
      <x:c r="P87" s="68"/>
      <x:c r="Q87" s="68"/>
      <x:c r="R87" s="68"/>
    </x:row>
    <x:row r="88" ht="15" hidden="0" customHeight="1">
      <x:c r="A88" s="68"/>
      <x:c r="B88" s="68"/>
      <x:c r="C88" s="68"/>
      <x:c r="D88" s="68"/>
      <x:c r="E88" s="68"/>
      <x:c r="F88" s="68"/>
      <x:c r="G88" s="68"/>
      <x:c r="H88" s="68"/>
      <x:c r="I88" s="68"/>
      <x:c r="J88" s="68"/>
      <x:c r="K88" s="68"/>
      <x:c r="L88" s="68"/>
      <x:c r="M88" s="68"/>
      <x:c r="N88" s="68"/>
      <x:c r="O88" s="68"/>
      <x:c r="P88" s="68"/>
      <x:c r="Q88" s="68"/>
      <x:c r="R88" s="68"/>
    </x:row>
    <x:row r="89" ht="15" hidden="0" customHeight="1">
      <x:c r="A89" s="68"/>
      <x:c r="B89" s="68"/>
      <x:c r="C89" s="68"/>
      <x:c r="D89" s="68"/>
      <x:c r="E89" s="68"/>
      <x:c r="F89" s="68"/>
      <x:c r="G89" s="68"/>
      <x:c r="H89" s="68"/>
      <x:c r="I89" s="68"/>
      <x:c r="J89" s="68"/>
      <x:c r="K89" s="68"/>
      <x:c r="L89" s="68"/>
      <x:c r="M89" s="68"/>
      <x:c r="N89" s="68"/>
      <x:c r="O89" s="68"/>
      <x:c r="P89" s="68"/>
      <x:c r="Q89" s="68"/>
      <x:c r="R89" s="68"/>
    </x:row>
    <x:row r="90" ht="15" hidden="0" customHeight="1">
      <x:c r="A90" s="68"/>
      <x:c r="B90" s="68"/>
      <x:c r="C90" s="68"/>
      <x:c r="D90" s="68"/>
      <x:c r="E90" s="68"/>
      <x:c r="F90" s="68"/>
      <x:c r="G90" s="68"/>
      <x:c r="H90" s="68"/>
      <x:c r="I90" s="68"/>
      <x:c r="J90" s="68"/>
      <x:c r="K90" s="68"/>
      <x:c r="L90" s="68"/>
      <x:c r="M90" s="68"/>
      <x:c r="N90" s="68"/>
      <x:c r="O90" s="68"/>
      <x:c r="P90" s="68"/>
      <x:c r="Q90" s="68"/>
      <x:c r="R90" s="68"/>
    </x:row>
    <x:row r="91" ht="15" hidden="0" customHeight="1">
      <x:c r="A91" s="68"/>
      <x:c r="B91" s="68"/>
      <x:c r="C91" s="68"/>
      <x:c r="D91" s="68"/>
      <x:c r="E91" s="68"/>
      <x:c r="F91" s="68"/>
      <x:c r="G91" s="68"/>
      <x:c r="H91" s="68"/>
      <x:c r="I91" s="68"/>
      <x:c r="J91" s="68"/>
      <x:c r="K91" s="68"/>
      <x:c r="L91" s="68"/>
      <x:c r="M91" s="68"/>
      <x:c r="N91" s="68"/>
      <x:c r="O91" s="68"/>
      <x:c r="P91" s="68"/>
      <x:c r="Q91" s="68"/>
      <x:c r="R91" s="68"/>
    </x:row>
    <x:row r="92" ht="15" hidden="0" customHeight="1">
      <x:c r="A92" s="68"/>
      <x:c r="B92" s="68"/>
      <x:c r="C92" s="68"/>
      <x:c r="D92" s="68"/>
      <x:c r="E92" s="68"/>
      <x:c r="F92" s="68"/>
      <x:c r="G92" s="68"/>
      <x:c r="H92" s="68"/>
      <x:c r="I92" s="68"/>
      <x:c r="J92" s="68"/>
      <x:c r="K92" s="68"/>
      <x:c r="L92" s="68"/>
      <x:c r="M92" s="68"/>
      <x:c r="N92" s="68"/>
      <x:c r="O92" s="68"/>
      <x:c r="P92" s="68"/>
      <x:c r="Q92" s="68"/>
      <x:c r="R92" s="68"/>
    </x:row>
    <x:row r="93" ht="15" hidden="0" customHeight="1">
      <x:c r="A93" s="68"/>
      <x:c r="B93" s="68"/>
      <x:c r="C93" s="68"/>
      <x:c r="D93" s="68"/>
      <x:c r="E93" s="68"/>
      <x:c r="F93" s="68"/>
      <x:c r="G93" s="68"/>
      <x:c r="H93" s="68"/>
      <x:c r="I93" s="68"/>
      <x:c r="J93" s="68"/>
      <x:c r="K93" s="68"/>
      <x:c r="L93" s="68"/>
      <x:c r="M93" s="68"/>
      <x:c r="N93" s="68"/>
      <x:c r="O93" s="68"/>
      <x:c r="P93" s="68"/>
      <x:c r="Q93" s="68"/>
      <x:c r="R93" s="68"/>
    </x:row>
    <x:row r="94" ht="15" hidden="0" customHeight="1">
      <x:c r="A94" s="68"/>
      <x:c r="B94" s="68"/>
      <x:c r="C94" s="68"/>
      <x:c r="D94" s="68"/>
      <x:c r="E94" s="68"/>
      <x:c r="F94" s="68"/>
      <x:c r="G94" s="68"/>
      <x:c r="H94" s="68"/>
      <x:c r="I94" s="68"/>
      <x:c r="J94" s="68"/>
      <x:c r="K94" s="68"/>
      <x:c r="L94" s="68"/>
      <x:c r="M94" s="68"/>
      <x:c r="N94" s="68"/>
      <x:c r="O94" s="68"/>
      <x:c r="P94" s="68"/>
      <x:c r="Q94" s="68"/>
      <x:c r="R94" s="68"/>
    </x:row>
    <x:row r="95" ht="15" hidden="0" customHeight="1">
      <x:c r="A95" s="68"/>
      <x:c r="B95" s="68"/>
      <x:c r="C95" s="68"/>
      <x:c r="D95" s="68"/>
      <x:c r="E95" s="68"/>
      <x:c r="F95" s="68"/>
      <x:c r="G95" s="68"/>
      <x:c r="H95" s="68"/>
      <x:c r="I95" s="68"/>
      <x:c r="J95" s="68"/>
      <x:c r="K95" s="68"/>
      <x:c r="L95" s="68"/>
      <x:c r="M95" s="68"/>
      <x:c r="N95" s="68"/>
      <x:c r="O95" s="68"/>
      <x:c r="P95" s="68"/>
      <x:c r="Q95" s="68"/>
      <x:c r="R95" s="68"/>
    </x:row>
    <x:row r="96" ht="15" hidden="0" customHeight="1">
      <x:c r="A96" s="68"/>
      <x:c r="B96" s="68"/>
      <x:c r="C96" s="68"/>
      <x:c r="D96" s="68"/>
      <x:c r="E96" s="68"/>
      <x:c r="F96" s="68"/>
      <x:c r="G96" s="68"/>
      <x:c r="H96" s="68"/>
      <x:c r="I96" s="68"/>
      <x:c r="J96" s="68"/>
      <x:c r="K96" s="68"/>
      <x:c r="L96" s="68"/>
      <x:c r="M96" s="68"/>
      <x:c r="N96" s="68"/>
      <x:c r="O96" s="68"/>
      <x:c r="P96" s="68"/>
      <x:c r="Q96" s="68"/>
      <x:c r="R96" s="68"/>
    </x:row>
    <x:row r="97" ht="15" hidden="0" customHeight="1">
      <x:c r="A97" s="68"/>
      <x:c r="B97" s="68"/>
      <x:c r="C97" s="68"/>
      <x:c r="D97" s="68"/>
      <x:c r="E97" s="68"/>
      <x:c r="F97" s="68"/>
      <x:c r="G97" s="68"/>
      <x:c r="H97" s="68"/>
      <x:c r="I97" s="68"/>
      <x:c r="J97" s="68"/>
      <x:c r="K97" s="68"/>
      <x:c r="L97" s="68"/>
      <x:c r="M97" s="68"/>
      <x:c r="N97" s="68"/>
      <x:c r="O97" s="68"/>
      <x:c r="P97" s="68"/>
      <x:c r="Q97" s="68"/>
      <x:c r="R97" s="68"/>
    </x:row>
    <x:row r="98" ht="15" hidden="0" customHeight="1">
      <x:c r="A98" s="68"/>
      <x:c r="B98" s="68"/>
      <x:c r="C98" s="68"/>
      <x:c r="D98" s="68"/>
      <x:c r="E98" s="68"/>
      <x:c r="F98" s="68"/>
      <x:c r="G98" s="68"/>
      <x:c r="H98" s="68"/>
      <x:c r="I98" s="68"/>
      <x:c r="J98" s="68"/>
      <x:c r="K98" s="68"/>
      <x:c r="L98" s="68"/>
      <x:c r="M98" s="68"/>
      <x:c r="N98" s="68"/>
      <x:c r="O98" s="68"/>
      <x:c r="P98" s="68"/>
      <x:c r="Q98" s="68"/>
      <x:c r="R98" s="68"/>
    </x:row>
    <x:row r="99" ht="15" hidden="0" customHeight="1">
      <x:c r="A99" s="68"/>
      <x:c r="B99" s="68"/>
      <x:c r="C99" s="68"/>
      <x:c r="D99" s="68"/>
      <x:c r="E99" s="68"/>
      <x:c r="F99" s="68"/>
      <x:c r="G99" s="68"/>
      <x:c r="H99" s="68"/>
      <x:c r="I99" s="68"/>
      <x:c r="J99" s="68"/>
      <x:c r="K99" s="68"/>
      <x:c r="L99" s="68"/>
      <x:c r="M99" s="68"/>
      <x:c r="N99" s="68"/>
      <x:c r="O99" s="68"/>
      <x:c r="P99" s="68"/>
      <x:c r="Q99" s="68"/>
      <x:c r="R99" s="68"/>
    </x:row>
    <x:row r="100" ht="15" hidden="0" customHeight="1">
      <x:c r="A100" s="68"/>
      <x:c r="B100" s="68"/>
      <x:c r="C100" s="68"/>
      <x:c r="D100" s="68"/>
      <x:c r="E100" s="68"/>
      <x:c r="F100" s="68"/>
      <x:c r="G100" s="68"/>
      <x:c r="H100" s="68"/>
      <x:c r="I100" s="68"/>
      <x:c r="J100" s="68"/>
      <x:c r="K100" s="68"/>
      <x:c r="L100" s="68"/>
      <x:c r="M100" s="68"/>
      <x:c r="N100" s="68"/>
      <x:c r="O100" s="68"/>
      <x:c r="P100" s="68"/>
      <x:c r="Q100" s="68"/>
      <x:c r="R100" s="68"/>
    </x:row>
    <x:row r="101" ht="15" hidden="0" customHeight="1">
      <x:c r="A101" s="68"/>
      <x:c r="B101" s="68"/>
      <x:c r="C101" s="68"/>
      <x:c r="D101" s="68"/>
      <x:c r="E101" s="68"/>
      <x:c r="F101" s="68"/>
      <x:c r="G101" s="68"/>
      <x:c r="H101" s="68"/>
      <x:c r="I101" s="68"/>
      <x:c r="J101" s="68"/>
      <x:c r="K101" s="68"/>
      <x:c r="L101" s="68"/>
      <x:c r="M101" s="68"/>
      <x:c r="N101" s="68"/>
      <x:c r="O101" s="68"/>
      <x:c r="P101" s="68"/>
      <x:c r="Q101" s="68"/>
      <x:c r="R101" s="68"/>
    </x:row>
    <x:row r="102" ht="15" hidden="0" customHeight="1">
      <x:c r="A102" s="68"/>
      <x:c r="B102" s="68"/>
      <x:c r="C102" s="68"/>
      <x:c r="D102" s="68"/>
      <x:c r="E102" s="68"/>
      <x:c r="F102" s="68"/>
      <x:c r="G102" s="68"/>
      <x:c r="H102" s="68"/>
      <x:c r="I102" s="68"/>
      <x:c r="J102" s="68"/>
      <x:c r="K102" s="68"/>
      <x:c r="L102" s="68"/>
      <x:c r="M102" s="68"/>
      <x:c r="N102" s="68"/>
      <x:c r="O102" s="68"/>
      <x:c r="P102" s="68"/>
      <x:c r="Q102" s="68"/>
      <x:c r="R102" s="68"/>
    </x:row>
    <x:row r="103" ht="15" hidden="0" customHeight="1">
      <x:c r="A103" s="68"/>
      <x:c r="B103" s="68"/>
      <x:c r="C103" s="68"/>
      <x:c r="D103" s="68"/>
      <x:c r="E103" s="68"/>
      <x:c r="F103" s="68"/>
      <x:c r="G103" s="68"/>
      <x:c r="H103" s="68"/>
      <x:c r="I103" s="68"/>
      <x:c r="J103" s="68"/>
      <x:c r="K103" s="68"/>
      <x:c r="L103" s="68"/>
      <x:c r="M103" s="68"/>
      <x:c r="N103" s="68"/>
      <x:c r="O103" s="68"/>
      <x:c r="P103" s="68"/>
      <x:c r="Q103" s="68"/>
      <x:c r="R103" s="68"/>
    </x:row>
    <x:row r="104" ht="15" hidden="0" customHeight="1">
      <x:c r="A104" s="68"/>
      <x:c r="B104" s="68"/>
      <x:c r="C104" s="68"/>
      <x:c r="D104" s="68"/>
      <x:c r="E104" s="68"/>
      <x:c r="F104" s="68"/>
      <x:c r="G104" s="68"/>
      <x:c r="H104" s="68"/>
      <x:c r="I104" s="68"/>
      <x:c r="J104" s="68"/>
      <x:c r="K104" s="68"/>
      <x:c r="L104" s="68"/>
      <x:c r="M104" s="68"/>
      <x:c r="N104" s="68"/>
      <x:c r="O104" s="68"/>
      <x:c r="P104" s="68"/>
      <x:c r="Q104" s="68"/>
      <x:c r="R104" s="68"/>
    </x:row>
    <x:row r="105" ht="15" hidden="0" customHeight="1">
      <x:c r="A105" s="68"/>
      <x:c r="B105" s="68"/>
      <x:c r="C105" s="68"/>
      <x:c r="D105" s="68"/>
      <x:c r="E105" s="68"/>
      <x:c r="F105" s="68"/>
      <x:c r="G105" s="68"/>
      <x:c r="H105" s="68"/>
      <x:c r="I105" s="68"/>
      <x:c r="J105" s="68"/>
      <x:c r="K105" s="68"/>
      <x:c r="L105" s="68"/>
      <x:c r="M105" s="68"/>
      <x:c r="N105" s="68"/>
      <x:c r="O105" s="68"/>
      <x:c r="P105" s="68"/>
      <x:c r="Q105" s="68"/>
      <x:c r="R105" s="68"/>
    </x:row>
    <x:row r="106" ht="15" hidden="0" customHeight="1">
      <x:c r="A106" s="68"/>
      <x:c r="B106" s="68"/>
      <x:c r="C106" s="68"/>
      <x:c r="D106" s="68"/>
      <x:c r="E106" s="68"/>
      <x:c r="F106" s="68"/>
      <x:c r="G106" s="68"/>
      <x:c r="H106" s="68"/>
      <x:c r="I106" s="68"/>
      <x:c r="J106" s="68"/>
      <x:c r="K106" s="68"/>
      <x:c r="L106" s="68"/>
      <x:c r="M106" s="68"/>
      <x:c r="N106" s="68"/>
      <x:c r="O106" s="68"/>
      <x:c r="P106" s="68"/>
      <x:c r="Q106" s="68"/>
      <x:c r="R106" s="68"/>
    </x:row>
    <x:row r="107" ht="15" hidden="0" customHeight="1">
      <x:c r="A107" s="68"/>
      <x:c r="B107" s="68"/>
      <x:c r="C107" s="68"/>
      <x:c r="D107" s="68"/>
      <x:c r="E107" s="68"/>
      <x:c r="F107" s="68"/>
      <x:c r="G107" s="68"/>
      <x:c r="H107" s="68"/>
      <x:c r="I107" s="68"/>
      <x:c r="J107" s="68"/>
      <x:c r="K107" s="68"/>
      <x:c r="L107" s="68"/>
      <x:c r="M107" s="68"/>
      <x:c r="N107" s="68"/>
      <x:c r="O107" s="68"/>
      <x:c r="P107" s="68"/>
      <x:c r="Q107" s="68"/>
      <x:c r="R107" s="68"/>
    </x:row>
    <x:row r="108" ht="15" hidden="0" customHeight="1">
      <x:c r="A108" s="68"/>
      <x:c r="B108" s="68"/>
      <x:c r="C108" s="68"/>
      <x:c r="D108" s="68"/>
      <x:c r="E108" s="68"/>
      <x:c r="F108" s="68"/>
      <x:c r="G108" s="68"/>
      <x:c r="H108" s="68"/>
      <x:c r="I108" s="68"/>
      <x:c r="J108" s="68"/>
      <x:c r="K108" s="68"/>
      <x:c r="L108" s="68"/>
      <x:c r="M108" s="68"/>
      <x:c r="N108" s="68"/>
      <x:c r="O108" s="68"/>
      <x:c r="P108" s="68"/>
      <x:c r="Q108" s="68"/>
      <x:c r="R108" s="68"/>
    </x:row>
    <x:row r="109" ht="15" hidden="0" customHeight="1">
      <x:c r="A109" s="68"/>
      <x:c r="B109" s="68"/>
      <x:c r="C109" s="68"/>
      <x:c r="D109" s="68"/>
      <x:c r="E109" s="68"/>
      <x:c r="F109" s="68"/>
      <x:c r="G109" s="68"/>
      <x:c r="H109" s="68"/>
      <x:c r="I109" s="68"/>
      <x:c r="J109" s="68"/>
      <x:c r="K109" s="68"/>
      <x:c r="L109" s="68"/>
      <x:c r="M109" s="68"/>
      <x:c r="N109" s="68"/>
      <x:c r="O109" s="68"/>
      <x:c r="P109" s="68"/>
      <x:c r="Q109" s="68"/>
      <x:c r="R109" s="68"/>
    </x:row>
    <x:row r="110" ht="15" hidden="0" customHeight="1">
      <x:c r="A110" s="68"/>
      <x:c r="B110" s="68"/>
      <x:c r="C110" s="68"/>
      <x:c r="D110" s="68"/>
      <x:c r="E110" s="68"/>
      <x:c r="F110" s="68"/>
      <x:c r="G110" s="68"/>
      <x:c r="H110" s="68"/>
      <x:c r="I110" s="68"/>
      <x:c r="J110" s="68"/>
      <x:c r="K110" s="68"/>
      <x:c r="L110" s="68"/>
      <x:c r="M110" s="68"/>
      <x:c r="N110" s="68"/>
      <x:c r="O110" s="68"/>
      <x:c r="P110" s="68"/>
      <x:c r="Q110" s="68"/>
      <x:c r="R110" s="68"/>
    </x:row>
    <x:row r="111" ht="15" hidden="0" customHeight="1">
      <x:c r="A111" s="68"/>
      <x:c r="B111" s="68"/>
      <x:c r="C111" s="68"/>
      <x:c r="D111" s="68"/>
      <x:c r="E111" s="68"/>
      <x:c r="F111" s="68"/>
      <x:c r="G111" s="68"/>
      <x:c r="H111" s="68"/>
      <x:c r="I111" s="68"/>
      <x:c r="J111" s="68"/>
      <x:c r="K111" s="68"/>
      <x:c r="L111" s="68"/>
      <x:c r="M111" s="68"/>
      <x:c r="N111" s="68"/>
      <x:c r="O111" s="68"/>
      <x:c r="P111" s="68"/>
      <x:c r="Q111" s="68"/>
      <x:c r="R111" s="68"/>
    </x:row>
    <x:row r="112" ht="15" hidden="0" customHeight="1">
      <x:c r="A112" s="68"/>
      <x:c r="B112" s="68"/>
      <x:c r="C112" s="68"/>
      <x:c r="D112" s="68"/>
      <x:c r="E112" s="68"/>
      <x:c r="F112" s="68"/>
      <x:c r="G112" s="68"/>
      <x:c r="H112" s="68"/>
      <x:c r="I112" s="68"/>
      <x:c r="J112" s="68"/>
      <x:c r="K112" s="68"/>
      <x:c r="L112" s="68"/>
      <x:c r="M112" s="68"/>
      <x:c r="N112" s="68"/>
      <x:c r="O112" s="68"/>
      <x:c r="P112" s="68"/>
      <x:c r="Q112" s="68"/>
      <x:c r="R112" s="68"/>
    </x:row>
    <x:row r="113" ht="15" hidden="0" customHeight="1">
      <x:c r="A113" s="68"/>
      <x:c r="B113" s="68"/>
      <x:c r="C113" s="68"/>
      <x:c r="D113" s="68"/>
      <x:c r="E113" s="68"/>
      <x:c r="F113" s="68"/>
      <x:c r="G113" s="68"/>
      <x:c r="H113" s="68"/>
      <x:c r="I113" s="68"/>
      <x:c r="J113" s="68"/>
      <x:c r="K113" s="68"/>
      <x:c r="L113" s="68"/>
      <x:c r="M113" s="68"/>
      <x:c r="N113" s="68"/>
      <x:c r="O113" s="68"/>
      <x:c r="P113" s="68"/>
      <x:c r="Q113" s="68"/>
      <x:c r="R113" s="68"/>
    </x:row>
    <x:row r="114" ht="15" hidden="0" customHeight="1">
      <x:c r="A114" s="68"/>
      <x:c r="B114" s="68"/>
      <x:c r="C114" s="68"/>
      <x:c r="D114" s="68"/>
      <x:c r="E114" s="68"/>
      <x:c r="F114" s="68"/>
      <x:c r="G114" s="68"/>
      <x:c r="H114" s="68"/>
      <x:c r="I114" s="68"/>
      <x:c r="J114" s="68"/>
      <x:c r="K114" s="68"/>
      <x:c r="L114" s="68"/>
      <x:c r="M114" s="68"/>
      <x:c r="N114" s="68"/>
      <x:c r="O114" s="68"/>
      <x:c r="P114" s="68"/>
      <x:c r="Q114" s="68"/>
      <x:c r="R114" s="68"/>
    </x:row>
    <x:row r="115" ht="15" hidden="0" customHeight="1">
      <x:c r="A115" s="68"/>
      <x:c r="B115" s="68"/>
      <x:c r="C115" s="68"/>
      <x:c r="D115" s="68"/>
      <x:c r="E115" s="68"/>
      <x:c r="F115" s="68"/>
      <x:c r="G115" s="68"/>
      <x:c r="H115" s="68"/>
      <x:c r="I115" s="68"/>
      <x:c r="J115" s="68"/>
      <x:c r="K115" s="68"/>
      <x:c r="L115" s="68"/>
      <x:c r="M115" s="68"/>
      <x:c r="N115" s="68"/>
      <x:c r="O115" s="68"/>
      <x:c r="P115" s="68"/>
      <x:c r="Q115" s="68"/>
      <x:c r="R115" s="68"/>
    </x:row>
    <x:row r="116" ht="15" hidden="0" customHeight="1">
      <x:c r="A116" s="68"/>
      <x:c r="B116" s="68"/>
      <x:c r="C116" s="68"/>
      <x:c r="D116" s="68"/>
      <x:c r="E116" s="68"/>
      <x:c r="F116" s="68"/>
      <x:c r="G116" s="68"/>
      <x:c r="H116" s="68"/>
      <x:c r="I116" s="68"/>
      <x:c r="J116" s="68"/>
      <x:c r="K116" s="68"/>
      <x:c r="L116" s="68"/>
      <x:c r="M116" s="68"/>
      <x:c r="N116" s="68"/>
      <x:c r="O116" s="68"/>
      <x:c r="P116" s="68"/>
      <x:c r="Q116" s="68"/>
      <x:c r="R116" s="68"/>
    </x:row>
    <x:row r="117" ht="15" hidden="0" customHeight="1">
      <x:c r="A117" s="68"/>
      <x:c r="B117" s="68"/>
      <x:c r="C117" s="68"/>
      <x:c r="D117" s="68"/>
      <x:c r="E117" s="68"/>
      <x:c r="F117" s="68"/>
      <x:c r="G117" s="68"/>
      <x:c r="H117" s="68"/>
      <x:c r="I117" s="68"/>
      <x:c r="J117" s="68"/>
      <x:c r="K117" s="68"/>
      <x:c r="L117" s="68"/>
      <x:c r="M117" s="68"/>
      <x:c r="N117" s="68"/>
      <x:c r="O117" s="68"/>
      <x:c r="P117" s="68"/>
      <x:c r="Q117" s="68"/>
      <x:c r="R117" s="68"/>
    </x:row>
    <x:row r="118" ht="15" hidden="0" customHeight="1">
      <x:c r="A118" s="68"/>
      <x:c r="B118" s="68"/>
      <x:c r="C118" s="68"/>
      <x:c r="D118" s="68"/>
      <x:c r="E118" s="68"/>
      <x:c r="F118" s="68"/>
      <x:c r="G118" s="68"/>
      <x:c r="H118" s="68"/>
      <x:c r="I118" s="68"/>
      <x:c r="J118" s="68"/>
      <x:c r="K118" s="68"/>
      <x:c r="L118" s="68"/>
      <x:c r="M118" s="68"/>
      <x:c r="N118" s="68"/>
      <x:c r="O118" s="68"/>
      <x:c r="P118" s="68"/>
      <x:c r="Q118" s="68"/>
      <x:c r="R118" s="68"/>
    </x:row>
    <x:row r="119" ht="15" hidden="0" customHeight="1">
      <x:c r="A119" s="68"/>
      <x:c r="B119" s="68"/>
      <x:c r="C119" s="68"/>
      <x:c r="D119" s="68"/>
      <x:c r="E119" s="68"/>
      <x:c r="F119" s="68"/>
      <x:c r="G119" s="68"/>
      <x:c r="H119" s="68"/>
      <x:c r="I119" s="68"/>
      <x:c r="J119" s="68"/>
      <x:c r="K119" s="68"/>
      <x:c r="L119" s="68"/>
      <x:c r="M119" s="68"/>
      <x:c r="N119" s="68"/>
      <x:c r="O119" s="68"/>
      <x:c r="P119" s="68"/>
      <x:c r="Q119" s="68"/>
      <x:c r="R119" s="68"/>
    </x:row>
    <x:row r="120" ht="15" hidden="0" customHeight="1">
      <x:c r="A120" s="68"/>
      <x:c r="B120" s="68"/>
      <x:c r="C120" s="68"/>
      <x:c r="D120" s="68"/>
      <x:c r="E120" s="68"/>
      <x:c r="F120" s="68"/>
      <x:c r="G120" s="68"/>
      <x:c r="H120" s="68"/>
      <x:c r="I120" s="68"/>
      <x:c r="J120" s="68"/>
      <x:c r="K120" s="68"/>
      <x:c r="L120" s="68"/>
      <x:c r="M120" s="68"/>
      <x:c r="N120" s="68"/>
      <x:c r="O120" s="68"/>
      <x:c r="P120" s="68"/>
      <x:c r="Q120" s="68"/>
      <x:c r="R120" s="68"/>
    </x:row>
  </x:sheetData>
  <x:mergeCells>
    <x:mergeCell ref="C2:K2"/>
    <x:mergeCell ref="C3:K3"/>
    <x:mergeCell ref="C20:F20"/>
  </x:mergeCells>
  <x:conditionalFormatting sqref="F22:F28">
    <x:cfRule type="containsText" dxfId="1" priority="1" operator="containsText" text="FAIL"/>
    <x:cfRule type="containsText" dxfId="2" priority="2" operator="containsText" text="PASS"/>
  </x:conditionalFormatting>
  <x:pageMargins left="0.7" right="0.7" top="0.75" bottom="0.75" header="0.3" footer="0.3"/>
</x:worksheet>
</file>